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2240"/>
  </bookViews>
  <sheets>
    <sheet name="Prediction" sheetId="1" r:id="rId1"/>
    <sheet name="Calibration" sheetId="2" r:id="rId2"/>
    <sheet name="Degradation Model" sheetId="3" r:id="rId3"/>
    <sheet name="Aging Factor" sheetId="4" r:id="rId4"/>
    <sheet name="End of Life" sheetId="5" r:id="rId5"/>
    <sheet name="Validation" sheetId="6" r:id="rId6"/>
  </sheets>
  <calcPr calcId="125725"/>
</workbook>
</file>

<file path=xl/calcChain.xml><?xml version="1.0" encoding="utf-8"?>
<calcChain xmlns="http://schemas.openxmlformats.org/spreadsheetml/2006/main">
  <c r="B64" i="3"/>
  <c r="F15"/>
  <c r="E15"/>
  <c r="C15"/>
  <c r="F14"/>
  <c r="E14"/>
  <c r="C14"/>
  <c r="F13"/>
  <c r="E13"/>
  <c r="C13"/>
  <c r="P19" i="6"/>
  <c r="C19"/>
  <c r="T18"/>
  <c r="C18"/>
  <c r="T17"/>
  <c r="C17"/>
  <c r="T16"/>
  <c r="F16"/>
  <c r="C16"/>
  <c r="T15"/>
  <c r="C15"/>
  <c r="C14"/>
  <c r="T13"/>
  <c r="T12"/>
  <c r="C12"/>
  <c r="T11"/>
  <c r="C11"/>
  <c r="T10"/>
  <c r="C10"/>
  <c r="T9"/>
  <c r="C9"/>
  <c r="T8"/>
  <c r="C8"/>
  <c r="T7"/>
  <c r="C7"/>
  <c r="T6"/>
  <c r="C6"/>
  <c r="T5"/>
  <c r="C5"/>
  <c r="T4"/>
  <c r="C4"/>
  <c r="I320" i="5"/>
  <c r="I321" s="1"/>
  <c r="I322" s="1"/>
  <c r="A320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I318"/>
  <c r="I317" s="1"/>
  <c r="A318"/>
  <c r="A317" s="1"/>
  <c r="A316" s="1"/>
  <c r="A315" s="1"/>
  <c r="A314" s="1"/>
  <c r="A313" s="1"/>
  <c r="A312" s="1"/>
  <c r="A311" s="1"/>
  <c r="A310" s="1"/>
  <c r="A309" s="1"/>
  <c r="A308" s="1"/>
  <c r="A307" s="1"/>
  <c r="A306" s="1"/>
  <c r="A305" s="1"/>
  <c r="A304" s="1"/>
  <c r="A303" s="1"/>
  <c r="A302" s="1"/>
  <c r="A301" s="1"/>
  <c r="A300" s="1"/>
  <c r="A299" s="1"/>
  <c r="A298" s="1"/>
  <c r="A297" s="1"/>
  <c r="A296" s="1"/>
  <c r="A295" s="1"/>
  <c r="A294" s="1"/>
  <c r="A293" s="1"/>
  <c r="A292" s="1"/>
  <c r="A291" s="1"/>
  <c r="A290" s="1"/>
  <c r="A289" s="1"/>
  <c r="A288" s="1"/>
  <c r="A287" s="1"/>
  <c r="A286" s="1"/>
  <c r="A285" s="1"/>
  <c r="A284" s="1"/>
  <c r="A283" s="1"/>
  <c r="A282" s="1"/>
  <c r="A281" s="1"/>
  <c r="A280" s="1"/>
  <c r="A279" s="1"/>
  <c r="A278" s="1"/>
  <c r="A277" s="1"/>
  <c r="A276" s="1"/>
  <c r="A275" s="1"/>
  <c r="A274" s="1"/>
  <c r="A273" s="1"/>
  <c r="A272" s="1"/>
  <c r="A271" s="1"/>
  <c r="A270" s="1"/>
  <c r="A269" s="1"/>
  <c r="I59"/>
  <c r="I60" s="1"/>
  <c r="A59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I57"/>
  <c r="A57"/>
  <c r="A56" s="1"/>
  <c r="A55" s="1"/>
  <c r="A54"/>
  <c r="A53" s="1"/>
  <c r="A52" s="1"/>
  <c r="A51" s="1"/>
  <c r="A50" s="1"/>
  <c r="A49" s="1"/>
  <c r="A48" s="1"/>
  <c r="A47" s="1"/>
  <c r="A46" s="1"/>
  <c r="A45" s="1"/>
  <c r="A44" s="1"/>
  <c r="A43" s="1"/>
  <c r="A42" s="1"/>
  <c r="A41" s="1"/>
  <c r="A40" s="1"/>
  <c r="A39" s="1"/>
  <c r="A38" s="1"/>
  <c r="A37" s="1"/>
  <c r="A36" s="1"/>
  <c r="A35" s="1"/>
  <c r="A34" s="1"/>
  <c r="A33" s="1"/>
  <c r="A32" s="1"/>
  <c r="A31" s="1"/>
  <c r="A30" s="1"/>
  <c r="A29" s="1"/>
  <c r="A28" s="1"/>
  <c r="A27" s="1"/>
  <c r="A26" s="1"/>
  <c r="A25" s="1"/>
  <c r="A24" s="1"/>
  <c r="A23" s="1"/>
  <c r="A22" s="1"/>
  <c r="A21" s="1"/>
  <c r="A20" s="1"/>
  <c r="A19" s="1"/>
  <c r="A18" s="1"/>
  <c r="A17" s="1"/>
  <c r="A16" s="1"/>
  <c r="A15" s="1"/>
  <c r="A14" s="1"/>
  <c r="A13" s="1"/>
  <c r="A12" s="1"/>
  <c r="A11" s="1"/>
  <c r="A10" s="1"/>
  <c r="A9" s="1"/>
  <c r="A8" s="1"/>
  <c r="G242" i="4"/>
  <c r="H242" s="1"/>
  <c r="A242"/>
  <c r="G241"/>
  <c r="H241" s="1"/>
  <c r="A241"/>
  <c r="G240"/>
  <c r="H240" s="1"/>
  <c r="A240"/>
  <c r="G239"/>
  <c r="H239" s="1"/>
  <c r="A239"/>
  <c r="A238"/>
  <c r="G237"/>
  <c r="H237" s="1"/>
  <c r="A237"/>
  <c r="A236"/>
  <c r="A235"/>
  <c r="G234"/>
  <c r="H234" s="1"/>
  <c r="A234"/>
  <c r="G233"/>
  <c r="H233" s="1"/>
  <c r="A233"/>
  <c r="G232"/>
  <c r="H232" s="1"/>
  <c r="A232"/>
  <c r="G231"/>
  <c r="H231" s="1"/>
  <c r="A231"/>
  <c r="A230"/>
  <c r="G229"/>
  <c r="H229" s="1"/>
  <c r="A229"/>
  <c r="A228"/>
  <c r="A227"/>
  <c r="A226"/>
  <c r="G225"/>
  <c r="H225" s="1"/>
  <c r="A225"/>
  <c r="G224"/>
  <c r="H224" s="1"/>
  <c r="A224"/>
  <c r="G223"/>
  <c r="H223" s="1"/>
  <c r="A223"/>
  <c r="G222"/>
  <c r="H222" s="1"/>
  <c r="A222"/>
  <c r="G221"/>
  <c r="H221" s="1"/>
  <c r="A221"/>
  <c r="G220"/>
  <c r="H220" s="1"/>
  <c r="A220"/>
  <c r="G219"/>
  <c r="H219" s="1"/>
  <c r="A219"/>
  <c r="G218"/>
  <c r="H218" s="1"/>
  <c r="A218"/>
  <c r="G217"/>
  <c r="H217" s="1"/>
  <c r="A217"/>
  <c r="G216"/>
  <c r="H216" s="1"/>
  <c r="A216"/>
  <c r="G215"/>
  <c r="H215" s="1"/>
  <c r="A215"/>
  <c r="A214"/>
  <c r="G213"/>
  <c r="H213" s="1"/>
  <c r="A213"/>
  <c r="G212"/>
  <c r="H212" s="1"/>
  <c r="A212"/>
  <c r="G211"/>
  <c r="H211" s="1"/>
  <c r="A211"/>
  <c r="G210"/>
  <c r="H210" s="1"/>
  <c r="A210"/>
  <c r="G209"/>
  <c r="H209" s="1"/>
  <c r="A209"/>
  <c r="A208"/>
  <c r="G207"/>
  <c r="H207" s="1"/>
  <c r="A207"/>
  <c r="G206"/>
  <c r="H206" s="1"/>
  <c r="A206"/>
  <c r="G205"/>
  <c r="H205" s="1"/>
  <c r="A205"/>
  <c r="G204"/>
  <c r="H204" s="1"/>
  <c r="A204"/>
  <c r="A203"/>
  <c r="G202"/>
  <c r="H202" s="1"/>
  <c r="A202"/>
  <c r="G201"/>
  <c r="H201" s="1"/>
  <c r="A201"/>
  <c r="A200"/>
  <c r="G199"/>
  <c r="H199" s="1"/>
  <c r="A199"/>
  <c r="G198"/>
  <c r="H198" s="1"/>
  <c r="A198"/>
  <c r="G197"/>
  <c r="H197" s="1"/>
  <c r="A197"/>
  <c r="G196"/>
  <c r="H196" s="1"/>
  <c r="A196"/>
  <c r="G195"/>
  <c r="H195" s="1"/>
  <c r="A195"/>
  <c r="G194"/>
  <c r="H194" s="1"/>
  <c r="A194"/>
  <c r="G193"/>
  <c r="H193" s="1"/>
  <c r="A193"/>
  <c r="G192"/>
  <c r="H192" s="1"/>
  <c r="A192"/>
  <c r="G191"/>
  <c r="H191" s="1"/>
  <c r="A191"/>
  <c r="A190"/>
  <c r="G189"/>
  <c r="H189" s="1"/>
  <c r="A189"/>
  <c r="G188"/>
  <c r="H188" s="1"/>
  <c r="A188"/>
  <c r="G187"/>
  <c r="H187" s="1"/>
  <c r="A187"/>
  <c r="G186"/>
  <c r="H186" s="1"/>
  <c r="A186"/>
  <c r="G185"/>
  <c r="H185" s="1"/>
  <c r="A185"/>
  <c r="A184"/>
  <c r="A183"/>
  <c r="G182"/>
  <c r="H182" s="1"/>
  <c r="A182"/>
  <c r="G181"/>
  <c r="H181" s="1"/>
  <c r="A181"/>
  <c r="A180"/>
  <c r="G179"/>
  <c r="H179" s="1"/>
  <c r="A179"/>
  <c r="A178"/>
  <c r="G177"/>
  <c r="H177" s="1"/>
  <c r="A177"/>
  <c r="G176"/>
  <c r="H176" s="1"/>
  <c r="A176"/>
  <c r="G175"/>
  <c r="H175" s="1"/>
  <c r="A175"/>
  <c r="G174"/>
  <c r="H174" s="1"/>
  <c r="A174"/>
  <c r="G173"/>
  <c r="H173" s="1"/>
  <c r="A173"/>
  <c r="G172"/>
  <c r="H172" s="1"/>
  <c r="A172"/>
  <c r="G171"/>
  <c r="H171" s="1"/>
  <c r="A171"/>
  <c r="G170"/>
  <c r="H170" s="1"/>
  <c r="A170"/>
  <c r="G169"/>
  <c r="H169" s="1"/>
  <c r="A169"/>
  <c r="G168"/>
  <c r="H168" s="1"/>
  <c r="A168"/>
  <c r="A167"/>
  <c r="G166"/>
  <c r="H166" s="1"/>
  <c r="A166"/>
  <c r="G165"/>
  <c r="H165" s="1"/>
  <c r="A165"/>
  <c r="G164"/>
  <c r="H164" s="1"/>
  <c r="A164"/>
  <c r="G163"/>
  <c r="H163" s="1"/>
  <c r="A163"/>
  <c r="G162"/>
  <c r="H162" s="1"/>
  <c r="A162"/>
  <c r="A161"/>
  <c r="A160"/>
  <c r="G159"/>
  <c r="H159" s="1"/>
  <c r="A159"/>
  <c r="G158"/>
  <c r="H158" s="1"/>
  <c r="A158"/>
  <c r="G157"/>
  <c r="H157" s="1"/>
  <c r="A157"/>
  <c r="G156"/>
  <c r="H156" s="1"/>
  <c r="A156"/>
  <c r="G155"/>
  <c r="H155" s="1"/>
  <c r="A155"/>
  <c r="G154"/>
  <c r="H154" s="1"/>
  <c r="A154"/>
  <c r="G153"/>
  <c r="H153" s="1"/>
  <c r="A153"/>
  <c r="G152"/>
  <c r="H152" s="1"/>
  <c r="A152"/>
  <c r="G151"/>
  <c r="H151" s="1"/>
  <c r="A151"/>
  <c r="G150"/>
  <c r="H150" s="1"/>
  <c r="A150"/>
  <c r="G149"/>
  <c r="H149" s="1"/>
  <c r="A149"/>
  <c r="G148"/>
  <c r="H148" s="1"/>
  <c r="A148"/>
  <c r="G147"/>
  <c r="H147" s="1"/>
  <c r="A147"/>
  <c r="G146"/>
  <c r="H146" s="1"/>
  <c r="A146"/>
  <c r="G145"/>
  <c r="H145" s="1"/>
  <c r="A145"/>
  <c r="G138"/>
  <c r="H138" s="1"/>
  <c r="E138"/>
  <c r="E173" s="1"/>
  <c r="A138"/>
  <c r="A137"/>
  <c r="A136"/>
  <c r="G135"/>
  <c r="H135" s="1"/>
  <c r="A135"/>
  <c r="A134"/>
  <c r="G133"/>
  <c r="H133" s="1"/>
  <c r="A133"/>
  <c r="A132"/>
  <c r="A131"/>
  <c r="G130"/>
  <c r="H130" s="1"/>
  <c r="A130"/>
  <c r="A129"/>
  <c r="G128"/>
  <c r="H128" s="1"/>
  <c r="A128"/>
  <c r="A127"/>
  <c r="A126"/>
  <c r="A125"/>
  <c r="G124"/>
  <c r="H124" s="1"/>
  <c r="A124"/>
  <c r="G123"/>
  <c r="H123" s="1"/>
  <c r="A123"/>
  <c r="G122"/>
  <c r="H122" s="1"/>
  <c r="A122"/>
  <c r="A121"/>
  <c r="G120"/>
  <c r="H120" s="1"/>
  <c r="A120"/>
  <c r="G119"/>
  <c r="H119" s="1"/>
  <c r="A119"/>
  <c r="G118"/>
  <c r="H118" s="1"/>
  <c r="A118"/>
  <c r="G117"/>
  <c r="H117" s="1"/>
  <c r="E117"/>
  <c r="E152" s="1"/>
  <c r="A117"/>
  <c r="G116"/>
  <c r="H116" s="1"/>
  <c r="A116"/>
  <c r="G115"/>
  <c r="H115" s="1"/>
  <c r="A115"/>
  <c r="G114"/>
  <c r="H114" s="1"/>
  <c r="A114"/>
  <c r="G113"/>
  <c r="H113" s="1"/>
  <c r="A113"/>
  <c r="G112"/>
  <c r="H112" s="1"/>
  <c r="A112"/>
  <c r="G111"/>
  <c r="H111" s="1"/>
  <c r="A111"/>
  <c r="A110"/>
  <c r="G109"/>
  <c r="H109" s="1"/>
  <c r="A109"/>
  <c r="A108"/>
  <c r="G107"/>
  <c r="H107" s="1"/>
  <c r="A107"/>
  <c r="G106"/>
  <c r="H106" s="1"/>
  <c r="A106"/>
  <c r="G105"/>
  <c r="H105" s="1"/>
  <c r="A105"/>
  <c r="G104"/>
  <c r="H104" s="1"/>
  <c r="A104"/>
  <c r="G103"/>
  <c r="H103" s="1"/>
  <c r="A103"/>
  <c r="G102"/>
  <c r="H102" s="1"/>
  <c r="A102"/>
  <c r="G101"/>
  <c r="H101" s="1"/>
  <c r="A101"/>
  <c r="G100"/>
  <c r="H100" s="1"/>
  <c r="A100"/>
  <c r="G99"/>
  <c r="H99" s="1"/>
  <c r="A99"/>
  <c r="A98"/>
  <c r="G97"/>
  <c r="H97" s="1"/>
  <c r="A97"/>
  <c r="G96"/>
  <c r="H96" s="1"/>
  <c r="A96"/>
  <c r="G95"/>
  <c r="H95" s="1"/>
  <c r="A95"/>
  <c r="A94"/>
  <c r="G93"/>
  <c r="H93" s="1"/>
  <c r="A93"/>
  <c r="G92"/>
  <c r="H92" s="1"/>
  <c r="A92"/>
  <c r="G91"/>
  <c r="H91" s="1"/>
  <c r="A91"/>
  <c r="G90"/>
  <c r="H90" s="1"/>
  <c r="A90"/>
  <c r="G89"/>
  <c r="H89" s="1"/>
  <c r="A89"/>
  <c r="G88"/>
  <c r="H88" s="1"/>
  <c r="A88"/>
  <c r="A87"/>
  <c r="G86"/>
  <c r="H86" s="1"/>
  <c r="A86"/>
  <c r="G85"/>
  <c r="H85" s="1"/>
  <c r="A85"/>
  <c r="G84"/>
  <c r="H84" s="1"/>
  <c r="A84"/>
  <c r="G83"/>
  <c r="H83" s="1"/>
  <c r="A83"/>
  <c r="G82"/>
  <c r="H82" s="1"/>
  <c r="A82"/>
  <c r="A81"/>
  <c r="G80"/>
  <c r="H80" s="1"/>
  <c r="A80"/>
  <c r="G79"/>
  <c r="H79" s="1"/>
  <c r="A79"/>
  <c r="G78"/>
  <c r="H78" s="1"/>
  <c r="A78"/>
  <c r="G77"/>
  <c r="H77" s="1"/>
  <c r="A77"/>
  <c r="G76"/>
  <c r="H76" s="1"/>
  <c r="A76"/>
  <c r="G75"/>
  <c r="H75" s="1"/>
  <c r="A75"/>
  <c r="G74"/>
  <c r="H74" s="1"/>
  <c r="A74"/>
  <c r="G73"/>
  <c r="H73" s="1"/>
  <c r="A73"/>
  <c r="G72"/>
  <c r="H72" s="1"/>
  <c r="A72"/>
  <c r="G71"/>
  <c r="H71" s="1"/>
  <c r="A71"/>
  <c r="G70"/>
  <c r="H70" s="1"/>
  <c r="A70"/>
  <c r="G69"/>
  <c r="H69" s="1"/>
  <c r="A69"/>
  <c r="G68"/>
  <c r="H68" s="1"/>
  <c r="A68"/>
  <c r="G67"/>
  <c r="H67" s="1"/>
  <c r="A67"/>
  <c r="G66"/>
  <c r="H66" s="1"/>
  <c r="A66"/>
  <c r="A65"/>
  <c r="G64"/>
  <c r="H64" s="1"/>
  <c r="A64"/>
  <c r="G63"/>
  <c r="H63" s="1"/>
  <c r="A63"/>
  <c r="G62"/>
  <c r="H62" s="1"/>
  <c r="A62"/>
  <c r="G61"/>
  <c r="H61" s="1"/>
  <c r="A61"/>
  <c r="G60"/>
  <c r="H60" s="1"/>
  <c r="A60"/>
  <c r="G59"/>
  <c r="H59" s="1"/>
  <c r="A59"/>
  <c r="G58"/>
  <c r="H58" s="1"/>
  <c r="A58"/>
  <c r="G57"/>
  <c r="H57" s="1"/>
  <c r="A57"/>
  <c r="G56"/>
  <c r="H56" s="1"/>
  <c r="A56"/>
  <c r="G55"/>
  <c r="H55" s="1"/>
  <c r="A55"/>
  <c r="G54"/>
  <c r="H54" s="1"/>
  <c r="A54"/>
  <c r="G53"/>
  <c r="H53" s="1"/>
  <c r="A53"/>
  <c r="G52"/>
  <c r="H52" s="1"/>
  <c r="A52"/>
  <c r="G51"/>
  <c r="H51" s="1"/>
  <c r="A51"/>
  <c r="G50"/>
  <c r="H50" s="1"/>
  <c r="A50"/>
  <c r="G49"/>
  <c r="H49" s="1"/>
  <c r="A49"/>
  <c r="G48"/>
  <c r="H48" s="1"/>
  <c r="A48"/>
  <c r="A47"/>
  <c r="G46"/>
  <c r="H46" s="1"/>
  <c r="A46"/>
  <c r="G45"/>
  <c r="H45" s="1"/>
  <c r="A45"/>
  <c r="G44"/>
  <c r="H44" s="1"/>
  <c r="A44"/>
  <c r="G43"/>
  <c r="H43" s="1"/>
  <c r="A43"/>
  <c r="G42"/>
  <c r="H42" s="1"/>
  <c r="A42"/>
  <c r="A41"/>
  <c r="A32"/>
  <c r="A31"/>
  <c r="A30"/>
  <c r="A29"/>
  <c r="A28"/>
  <c r="A27"/>
  <c r="A26"/>
  <c r="A25"/>
  <c r="X234"/>
  <c r="W234"/>
  <c r="W238" s="1"/>
  <c r="U234"/>
  <c r="T234"/>
  <c r="T238" s="1"/>
  <c r="R234"/>
  <c r="Q234"/>
  <c r="Q238" s="1"/>
  <c r="O234"/>
  <c r="N234"/>
  <c r="N238" s="1"/>
  <c r="L234"/>
  <c r="K234"/>
  <c r="K238" s="1"/>
  <c r="AJ214"/>
  <c r="AI214"/>
  <c r="AI218" s="1"/>
  <c r="AG214"/>
  <c r="AF214"/>
  <c r="AF218" s="1"/>
  <c r="AD214"/>
  <c r="AC214"/>
  <c r="AC218" s="1"/>
  <c r="AA214"/>
  <c r="Z214"/>
  <c r="Z218" s="1"/>
  <c r="W214"/>
  <c r="X209" s="1"/>
  <c r="T214"/>
  <c r="U211" s="1"/>
  <c r="Q214"/>
  <c r="N214"/>
  <c r="O211" s="1"/>
  <c r="K214"/>
  <c r="L209" s="1"/>
  <c r="AI194"/>
  <c r="AJ191" s="1"/>
  <c r="AF194"/>
  <c r="AG189" s="1"/>
  <c r="AC194"/>
  <c r="AD191" s="1"/>
  <c r="Z194"/>
  <c r="AA189" s="1"/>
  <c r="W194"/>
  <c r="X191" s="1"/>
  <c r="T194"/>
  <c r="Q194"/>
  <c r="R191" s="1"/>
  <c r="N194"/>
  <c r="O189" s="1"/>
  <c r="K194"/>
  <c r="L191" s="1"/>
  <c r="AI174"/>
  <c r="AJ171" s="1"/>
  <c r="AF174"/>
  <c r="AG171" s="1"/>
  <c r="AC174"/>
  <c r="AD169" s="1"/>
  <c r="Z174"/>
  <c r="Z178" s="1"/>
  <c r="W174"/>
  <c r="T174"/>
  <c r="U171" s="1"/>
  <c r="Q174"/>
  <c r="R171" s="1"/>
  <c r="N174"/>
  <c r="O171" s="1"/>
  <c r="K174"/>
  <c r="L169" s="1"/>
  <c r="AI154"/>
  <c r="AI158" s="1"/>
  <c r="AF154"/>
  <c r="AG149" s="1"/>
  <c r="AC154"/>
  <c r="AC158" s="1"/>
  <c r="Z154"/>
  <c r="W154"/>
  <c r="W158" s="1"/>
  <c r="T154"/>
  <c r="U149" s="1"/>
  <c r="Q154"/>
  <c r="Q158" s="1"/>
  <c r="N154"/>
  <c r="O149" s="1"/>
  <c r="K154"/>
  <c r="K158" s="1"/>
  <c r="AI134"/>
  <c r="AJ129" s="1"/>
  <c r="AF134"/>
  <c r="AF138" s="1"/>
  <c r="AC134"/>
  <c r="Z134"/>
  <c r="Z138" s="1"/>
  <c r="W134"/>
  <c r="X129" s="1"/>
  <c r="T134"/>
  <c r="T138" s="1"/>
  <c r="Q134"/>
  <c r="Q138" s="1"/>
  <c r="N134"/>
  <c r="O132" s="1"/>
  <c r="K134"/>
  <c r="K138" s="1"/>
  <c r="AI114"/>
  <c r="AJ112" s="1"/>
  <c r="AF114"/>
  <c r="AC114"/>
  <c r="AD112" s="1"/>
  <c r="Z114"/>
  <c r="Z118" s="1"/>
  <c r="W114"/>
  <c r="X112" s="1"/>
  <c r="T114"/>
  <c r="T118" s="1"/>
  <c r="Q114"/>
  <c r="R112" s="1"/>
  <c r="N114"/>
  <c r="N118" s="1"/>
  <c r="K114"/>
  <c r="L112" s="1"/>
  <c r="AI94"/>
  <c r="AF94"/>
  <c r="AG92" s="1"/>
  <c r="AC94"/>
  <c r="AC98" s="1"/>
  <c r="Z94"/>
  <c r="AA92" s="1"/>
  <c r="W94"/>
  <c r="W98" s="1"/>
  <c r="T94"/>
  <c r="U92" s="1"/>
  <c r="Q94"/>
  <c r="Q98" s="1"/>
  <c r="N94"/>
  <c r="O92" s="1"/>
  <c r="K94"/>
  <c r="AI74"/>
  <c r="AJ72" s="1"/>
  <c r="AF74"/>
  <c r="AF78" s="1"/>
  <c r="AC74"/>
  <c r="AD72" s="1"/>
  <c r="Z74"/>
  <c r="W74"/>
  <c r="X72" s="1"/>
  <c r="T74"/>
  <c r="T78" s="1"/>
  <c r="Q74"/>
  <c r="R72" s="1"/>
  <c r="N74"/>
  <c r="K74"/>
  <c r="L72" s="1"/>
  <c r="AI54"/>
  <c r="AI58" s="1"/>
  <c r="AF54"/>
  <c r="AG52" s="1"/>
  <c r="AC54"/>
  <c r="AC58" s="1"/>
  <c r="Z54"/>
  <c r="AA52" s="1"/>
  <c r="W54"/>
  <c r="W58" s="1"/>
  <c r="T54"/>
  <c r="U52" s="1"/>
  <c r="Q54"/>
  <c r="N54"/>
  <c r="O52" s="1"/>
  <c r="K54"/>
  <c r="K58" s="1"/>
  <c r="AI34"/>
  <c r="AJ32" s="1"/>
  <c r="AF34"/>
  <c r="AF38" s="1"/>
  <c r="AC34"/>
  <c r="AD32" s="1"/>
  <c r="Z34"/>
  <c r="Z38" s="1"/>
  <c r="W34"/>
  <c r="X32" s="1"/>
  <c r="Q34"/>
  <c r="R32" s="1"/>
  <c r="N34"/>
  <c r="N38" s="1"/>
  <c r="K34"/>
  <c r="L32" s="1"/>
  <c r="AI14"/>
  <c r="AI18" s="1"/>
  <c r="AF14"/>
  <c r="AG12" s="1"/>
  <c r="AC14"/>
  <c r="AC18" s="1"/>
  <c r="Z14"/>
  <c r="AA12" s="1"/>
  <c r="W14"/>
  <c r="T14"/>
  <c r="U12" s="1"/>
  <c r="Q14"/>
  <c r="Q18" s="1"/>
  <c r="N14"/>
  <c r="O12" s="1"/>
  <c r="K14"/>
  <c r="K18" s="1"/>
  <c r="E14"/>
  <c r="E18" s="1"/>
  <c r="B14"/>
  <c r="C12" s="1"/>
  <c r="U212"/>
  <c r="O212"/>
  <c r="AJ192"/>
  <c r="AD192"/>
  <c r="X192"/>
  <c r="R192"/>
  <c r="L192"/>
  <c r="AG172"/>
  <c r="AA172"/>
  <c r="U172"/>
  <c r="O172"/>
  <c r="AJ152"/>
  <c r="AD152"/>
  <c r="X152"/>
  <c r="R152"/>
  <c r="L152"/>
  <c r="AG132"/>
  <c r="AA132"/>
  <c r="U132"/>
  <c r="X211"/>
  <c r="L211"/>
  <c r="AA191"/>
  <c r="O191"/>
  <c r="AD171"/>
  <c r="L171"/>
  <c r="AJ151"/>
  <c r="AG151"/>
  <c r="AD151"/>
  <c r="X151"/>
  <c r="U151"/>
  <c r="R151"/>
  <c r="O151"/>
  <c r="L151"/>
  <c r="AJ131"/>
  <c r="AG131"/>
  <c r="AA131"/>
  <c r="X131"/>
  <c r="U131"/>
  <c r="R131"/>
  <c r="O131"/>
  <c r="L131"/>
  <c r="AJ111"/>
  <c r="AD111"/>
  <c r="AA111"/>
  <c r="X111"/>
  <c r="U111"/>
  <c r="R111"/>
  <c r="O111"/>
  <c r="L111"/>
  <c r="AG91"/>
  <c r="AD91"/>
  <c r="AA91"/>
  <c r="X91"/>
  <c r="U91"/>
  <c r="R91"/>
  <c r="O91"/>
  <c r="AJ71"/>
  <c r="AG71"/>
  <c r="AD71"/>
  <c r="AA71"/>
  <c r="X71"/>
  <c r="U71"/>
  <c r="R71"/>
  <c r="L71"/>
  <c r="AJ51"/>
  <c r="AG51"/>
  <c r="AD51"/>
  <c r="AA51"/>
  <c r="X51"/>
  <c r="U51"/>
  <c r="O51"/>
  <c r="L51"/>
  <c r="AJ31"/>
  <c r="AG31"/>
  <c r="AD31"/>
  <c r="AA31"/>
  <c r="X31"/>
  <c r="R31"/>
  <c r="O31"/>
  <c r="L31"/>
  <c r="AJ11"/>
  <c r="AG11"/>
  <c r="AD11"/>
  <c r="AA11"/>
  <c r="U11"/>
  <c r="R11"/>
  <c r="O11"/>
  <c r="L11"/>
  <c r="F11"/>
  <c r="C11"/>
  <c r="X210"/>
  <c r="U210"/>
  <c r="O210"/>
  <c r="L210"/>
  <c r="AJ190"/>
  <c r="AG190"/>
  <c r="AD190"/>
  <c r="AA190"/>
  <c r="X190"/>
  <c r="R190"/>
  <c r="O190"/>
  <c r="L190"/>
  <c r="AJ170"/>
  <c r="AG170"/>
  <c r="AD170"/>
  <c r="AA170"/>
  <c r="U170"/>
  <c r="R170"/>
  <c r="O170"/>
  <c r="L170"/>
  <c r="AJ150"/>
  <c r="AG150"/>
  <c r="AD150"/>
  <c r="X150"/>
  <c r="U150"/>
  <c r="R150"/>
  <c r="O150"/>
  <c r="L150"/>
  <c r="AJ130"/>
  <c r="AG130"/>
  <c r="AA130"/>
  <c r="X130"/>
  <c r="U130"/>
  <c r="R130"/>
  <c r="O130"/>
  <c r="L130"/>
  <c r="AJ110"/>
  <c r="AD110"/>
  <c r="AA110"/>
  <c r="X110"/>
  <c r="R110"/>
  <c r="O110"/>
  <c r="L110"/>
  <c r="AG90"/>
  <c r="AD90"/>
  <c r="AA90"/>
  <c r="U90"/>
  <c r="R90"/>
  <c r="O90"/>
  <c r="AJ70"/>
  <c r="AG70"/>
  <c r="AD70"/>
  <c r="X70"/>
  <c r="U70"/>
  <c r="R70"/>
  <c r="L70"/>
  <c r="AJ50"/>
  <c r="AG50"/>
  <c r="AA50"/>
  <c r="X50"/>
  <c r="O50"/>
  <c r="L50"/>
  <c r="AJ30"/>
  <c r="AD30"/>
  <c r="AA30"/>
  <c r="R30"/>
  <c r="L30"/>
  <c r="AG10"/>
  <c r="AA10"/>
  <c r="U10"/>
  <c r="O10"/>
  <c r="C10"/>
  <c r="U209"/>
  <c r="O209"/>
  <c r="AJ189"/>
  <c r="AD189"/>
  <c r="X189"/>
  <c r="R189"/>
  <c r="L189"/>
  <c r="AG169"/>
  <c r="AA169"/>
  <c r="U169"/>
  <c r="O169"/>
  <c r="AJ149"/>
  <c r="AD149"/>
  <c r="X149"/>
  <c r="R149"/>
  <c r="L149"/>
  <c r="AG129"/>
  <c r="AA129"/>
  <c r="U129"/>
  <c r="O129"/>
  <c r="AJ109"/>
  <c r="AD109"/>
  <c r="X109"/>
  <c r="R109"/>
  <c r="L109"/>
  <c r="AG89"/>
  <c r="AA89"/>
  <c r="U89"/>
  <c r="O89"/>
  <c r="AJ69"/>
  <c r="AD69"/>
  <c r="X69"/>
  <c r="R69"/>
  <c r="L69"/>
  <c r="AG49"/>
  <c r="AA49"/>
  <c r="U49"/>
  <c r="O49"/>
  <c r="AJ29"/>
  <c r="AD29"/>
  <c r="X29"/>
  <c r="R29"/>
  <c r="O29"/>
  <c r="L29"/>
  <c r="AJ9"/>
  <c r="AG9"/>
  <c r="AD9"/>
  <c r="AA9"/>
  <c r="U9"/>
  <c r="R9"/>
  <c r="O9"/>
  <c r="L9"/>
  <c r="F9"/>
  <c r="C9"/>
  <c r="X208"/>
  <c r="U208"/>
  <c r="O208"/>
  <c r="L208"/>
  <c r="AJ188"/>
  <c r="AG188"/>
  <c r="AD188"/>
  <c r="AA188"/>
  <c r="X188"/>
  <c r="R188"/>
  <c r="O188"/>
  <c r="L188"/>
  <c r="AJ168"/>
  <c r="AG168"/>
  <c r="AD168"/>
  <c r="AA168"/>
  <c r="U168"/>
  <c r="R168"/>
  <c r="O168"/>
  <c r="L168"/>
  <c r="AJ148"/>
  <c r="AG148"/>
  <c r="AD148"/>
  <c r="X148"/>
  <c r="U148"/>
  <c r="R148"/>
  <c r="O148"/>
  <c r="L148"/>
  <c r="AJ128"/>
  <c r="AG128"/>
  <c r="AA128"/>
  <c r="X128"/>
  <c r="U128"/>
  <c r="R128"/>
  <c r="O128"/>
  <c r="L128"/>
  <c r="AJ108"/>
  <c r="AD108"/>
  <c r="AA108"/>
  <c r="X108"/>
  <c r="U108"/>
  <c r="R108"/>
  <c r="O108"/>
  <c r="L108"/>
  <c r="AG88"/>
  <c r="AD88"/>
  <c r="AA88"/>
  <c r="X88"/>
  <c r="U88"/>
  <c r="R88"/>
  <c r="O88"/>
  <c r="AJ68"/>
  <c r="AG68"/>
  <c r="AD68"/>
  <c r="AA68"/>
  <c r="X68"/>
  <c r="U68"/>
  <c r="R68"/>
  <c r="L68"/>
  <c r="AJ48"/>
  <c r="AG48"/>
  <c r="AD48"/>
  <c r="AA48"/>
  <c r="X48"/>
  <c r="U48"/>
  <c r="O48"/>
  <c r="L48"/>
  <c r="AJ28"/>
  <c r="AG28"/>
  <c r="AD28"/>
  <c r="AA28"/>
  <c r="X28"/>
  <c r="T28"/>
  <c r="T34" s="1"/>
  <c r="R28"/>
  <c r="O28"/>
  <c r="L28"/>
  <c r="AJ8"/>
  <c r="AG8"/>
  <c r="AD8"/>
  <c r="AA8"/>
  <c r="U8"/>
  <c r="R8"/>
  <c r="O8"/>
  <c r="L8"/>
  <c r="F8"/>
  <c r="C8"/>
  <c r="X207"/>
  <c r="U207"/>
  <c r="O207"/>
  <c r="L207"/>
  <c r="AJ187"/>
  <c r="AG187"/>
  <c r="AD187"/>
  <c r="AA187"/>
  <c r="X187"/>
  <c r="R187"/>
  <c r="O187"/>
  <c r="L187"/>
  <c r="AJ167"/>
  <c r="AG167"/>
  <c r="AD167"/>
  <c r="AA167"/>
  <c r="U167"/>
  <c r="R167"/>
  <c r="O167"/>
  <c r="L167"/>
  <c r="AJ147"/>
  <c r="AG147"/>
  <c r="AD147"/>
  <c r="X147"/>
  <c r="U147"/>
  <c r="R147"/>
  <c r="O147"/>
  <c r="L147"/>
  <c r="AJ127"/>
  <c r="AG127"/>
  <c r="AA127"/>
  <c r="X127"/>
  <c r="U127"/>
  <c r="R127"/>
  <c r="O127"/>
  <c r="L127"/>
  <c r="AJ107"/>
  <c r="AD107"/>
  <c r="AA107"/>
  <c r="X107"/>
  <c r="U107"/>
  <c r="R107"/>
  <c r="O107"/>
  <c r="L107"/>
  <c r="AG87"/>
  <c r="AD87"/>
  <c r="AA87"/>
  <c r="X87"/>
  <c r="U87"/>
  <c r="R87"/>
  <c r="O87"/>
  <c r="AJ67"/>
  <c r="AG67"/>
  <c r="AD67"/>
  <c r="AA67"/>
  <c r="X67"/>
  <c r="U67"/>
  <c r="R67"/>
  <c r="L67"/>
  <c r="AJ47"/>
  <c r="AG47"/>
  <c r="AD47"/>
  <c r="AA47"/>
  <c r="X47"/>
  <c r="U47"/>
  <c r="O47"/>
  <c r="L47"/>
  <c r="AJ27"/>
  <c r="AG27"/>
  <c r="AD27"/>
  <c r="AA27"/>
  <c r="X27"/>
  <c r="R27"/>
  <c r="O27"/>
  <c r="L27"/>
  <c r="AG7"/>
  <c r="AA7"/>
  <c r="U7"/>
  <c r="R7"/>
  <c r="O7"/>
  <c r="H7"/>
  <c r="H14" s="1"/>
  <c r="F7"/>
  <c r="C7"/>
  <c r="X206"/>
  <c r="U206"/>
  <c r="R206"/>
  <c r="O206"/>
  <c r="L206"/>
  <c r="AJ186"/>
  <c r="AG186"/>
  <c r="AD186"/>
  <c r="AA186"/>
  <c r="X186"/>
  <c r="U186"/>
  <c r="R186"/>
  <c r="O186"/>
  <c r="L186"/>
  <c r="AJ166"/>
  <c r="AG166"/>
  <c r="AD166"/>
  <c r="AA166"/>
  <c r="X166"/>
  <c r="U166"/>
  <c r="R166"/>
  <c r="O166"/>
  <c r="L166"/>
  <c r="AJ146"/>
  <c r="AG146"/>
  <c r="AD146"/>
  <c r="AA146"/>
  <c r="X146"/>
  <c r="U146"/>
  <c r="R146"/>
  <c r="O146"/>
  <c r="L146"/>
  <c r="AJ126"/>
  <c r="AG126"/>
  <c r="AD126"/>
  <c r="AA126"/>
  <c r="X126"/>
  <c r="U126"/>
  <c r="R126"/>
  <c r="O126"/>
  <c r="L126"/>
  <c r="AJ106"/>
  <c r="AG106"/>
  <c r="AD106"/>
  <c r="AA106"/>
  <c r="X106"/>
  <c r="U106"/>
  <c r="R106"/>
  <c r="O106"/>
  <c r="L106"/>
  <c r="AJ86"/>
  <c r="AG86"/>
  <c r="AD86"/>
  <c r="AA86"/>
  <c r="X86"/>
  <c r="U86"/>
  <c r="R86"/>
  <c r="O86"/>
  <c r="L86"/>
  <c r="AJ66"/>
  <c r="AG66"/>
  <c r="AD66"/>
  <c r="AA66"/>
  <c r="X66"/>
  <c r="U66"/>
  <c r="R66"/>
  <c r="O66"/>
  <c r="L66"/>
  <c r="AJ46"/>
  <c r="AG46"/>
  <c r="AD46"/>
  <c r="AA46"/>
  <c r="X46"/>
  <c r="U46"/>
  <c r="R46"/>
  <c r="O46"/>
  <c r="L46"/>
  <c r="AJ26"/>
  <c r="AG26"/>
  <c r="AD26"/>
  <c r="AA26"/>
  <c r="X26"/>
  <c r="R26"/>
  <c r="L26"/>
  <c r="AG6"/>
  <c r="AA6"/>
  <c r="U6"/>
  <c r="O6"/>
  <c r="I6"/>
  <c r="C6"/>
  <c r="X205"/>
  <c r="U205"/>
  <c r="R205"/>
  <c r="O205"/>
  <c r="O214" s="1"/>
  <c r="L205"/>
  <c r="AJ185"/>
  <c r="AJ194" s="1"/>
  <c r="AG185"/>
  <c r="AD185"/>
  <c r="AA185"/>
  <c r="X185"/>
  <c r="X194" s="1"/>
  <c r="U185"/>
  <c r="R185"/>
  <c r="R194" s="1"/>
  <c r="O185"/>
  <c r="L185"/>
  <c r="L194" s="1"/>
  <c r="AJ165"/>
  <c r="AG165"/>
  <c r="AD165"/>
  <c r="AA165"/>
  <c r="X165"/>
  <c r="U165"/>
  <c r="U174" s="1"/>
  <c r="R165"/>
  <c r="O165"/>
  <c r="O174" s="1"/>
  <c r="L165"/>
  <c r="AJ145"/>
  <c r="AG145"/>
  <c r="AD145"/>
  <c r="AD154" s="1"/>
  <c r="AA145"/>
  <c r="X145"/>
  <c r="X154" s="1"/>
  <c r="U145"/>
  <c r="R145"/>
  <c r="R154" s="1"/>
  <c r="O145"/>
  <c r="L145"/>
  <c r="AJ125"/>
  <c r="AG125"/>
  <c r="AD125"/>
  <c r="AA125"/>
  <c r="AA134" s="1"/>
  <c r="X125"/>
  <c r="U125"/>
  <c r="R125"/>
  <c r="O125"/>
  <c r="L125"/>
  <c r="AJ105"/>
  <c r="AG105"/>
  <c r="AD105"/>
  <c r="AA105"/>
  <c r="X105"/>
  <c r="U105"/>
  <c r="R105"/>
  <c r="O105"/>
  <c r="L105"/>
  <c r="AJ85"/>
  <c r="AG85"/>
  <c r="AD85"/>
  <c r="AA85"/>
  <c r="X85"/>
  <c r="U85"/>
  <c r="R85"/>
  <c r="O85"/>
  <c r="L85"/>
  <c r="AJ65"/>
  <c r="AG65"/>
  <c r="AD65"/>
  <c r="AA65"/>
  <c r="X65"/>
  <c r="U65"/>
  <c r="R65"/>
  <c r="O65"/>
  <c r="L65"/>
  <c r="AJ45"/>
  <c r="AG45"/>
  <c r="AD45"/>
  <c r="AA45"/>
  <c r="X45"/>
  <c r="U45"/>
  <c r="R45"/>
  <c r="O45"/>
  <c r="L45"/>
  <c r="AJ25"/>
  <c r="AG25"/>
  <c r="AD25"/>
  <c r="AA25"/>
  <c r="X25"/>
  <c r="R25"/>
  <c r="O25"/>
  <c r="L25"/>
  <c r="AJ5"/>
  <c r="AG5"/>
  <c r="AD5"/>
  <c r="AA5"/>
  <c r="X5"/>
  <c r="U5"/>
  <c r="R5"/>
  <c r="O5"/>
  <c r="L5"/>
  <c r="I5"/>
  <c r="F5"/>
  <c r="C5"/>
  <c r="C64" i="3"/>
  <c r="D64" s="1"/>
  <c r="E64" s="1"/>
  <c r="F64" s="1"/>
  <c r="H64" s="1"/>
  <c r="E58"/>
  <c r="F58" s="1"/>
  <c r="D58"/>
  <c r="E57"/>
  <c r="F57" s="1"/>
  <c r="D57"/>
  <c r="A40"/>
  <c r="A41" s="1"/>
  <c r="B39"/>
  <c r="C39" s="1"/>
  <c r="B38"/>
  <c r="C38" s="1"/>
  <c r="H26"/>
  <c r="B26"/>
  <c r="O15"/>
  <c r="L15"/>
  <c r="I15"/>
  <c r="G15"/>
  <c r="G19" s="1"/>
  <c r="H19" s="1"/>
  <c r="O14"/>
  <c r="L14"/>
  <c r="I14"/>
  <c r="G14"/>
  <c r="G18" s="1"/>
  <c r="H18" s="1"/>
  <c r="O13"/>
  <c r="L13"/>
  <c r="I13"/>
  <c r="G13"/>
  <c r="G17" s="1"/>
  <c r="J7"/>
  <c r="J6"/>
  <c r="J5"/>
  <c r="A630" i="2"/>
  <c r="A631" s="1"/>
  <c r="A608"/>
  <c r="A609" s="1"/>
  <c r="A586"/>
  <c r="A587" s="1"/>
  <c r="A588" s="1"/>
  <c r="A589" s="1"/>
  <c r="A564"/>
  <c r="A565" s="1"/>
  <c r="A542"/>
  <c r="A543" s="1"/>
  <c r="A520"/>
  <c r="A521" s="1"/>
  <c r="A498"/>
  <c r="A499" s="1"/>
  <c r="A476"/>
  <c r="A477" s="1"/>
  <c r="A454"/>
  <c r="A455" s="1"/>
  <c r="A432"/>
  <c r="A433" s="1"/>
  <c r="A410"/>
  <c r="A411" s="1"/>
  <c r="A388"/>
  <c r="A389" s="1"/>
  <c r="A366"/>
  <c r="A367" s="1"/>
  <c r="A344"/>
  <c r="A345" s="1"/>
  <c r="A346" s="1"/>
  <c r="A322"/>
  <c r="A300"/>
  <c r="A278"/>
  <c r="A279" s="1"/>
  <c r="A280" s="1"/>
  <c r="A256"/>
  <c r="A234"/>
  <c r="A212"/>
  <c r="A190"/>
  <c r="A168"/>
  <c r="A90"/>
  <c r="L64"/>
  <c r="X47"/>
  <c r="T45"/>
  <c r="T44"/>
  <c r="AD43"/>
  <c r="AE43" s="1"/>
  <c r="Y43"/>
  <c r="AA43" s="1"/>
  <c r="T43"/>
  <c r="L43"/>
  <c r="Z43" s="1"/>
  <c r="K43"/>
  <c r="AD42"/>
  <c r="AE42" s="1"/>
  <c r="Y42"/>
  <c r="AA42" s="1"/>
  <c r="T42"/>
  <c r="L42"/>
  <c r="Z42" s="1"/>
  <c r="K42"/>
  <c r="AD38"/>
  <c r="AH38" s="1"/>
  <c r="Y38"/>
  <c r="AA38" s="1"/>
  <c r="T38"/>
  <c r="W38" s="1"/>
  <c r="V38" s="1"/>
  <c r="L38"/>
  <c r="Z38" s="1"/>
  <c r="K38"/>
  <c r="AD37"/>
  <c r="AH37" s="1"/>
  <c r="Y37"/>
  <c r="AA37" s="1"/>
  <c r="T37"/>
  <c r="W37" s="1"/>
  <c r="V37" s="1"/>
  <c r="L37"/>
  <c r="Z37" s="1"/>
  <c r="K37"/>
  <c r="AD36"/>
  <c r="AH36" s="1"/>
  <c r="Y36"/>
  <c r="AA36" s="1"/>
  <c r="T36"/>
  <c r="W36" s="1"/>
  <c r="V36" s="1"/>
  <c r="L36"/>
  <c r="Z36" s="1"/>
  <c r="K36"/>
  <c r="AD35"/>
  <c r="AH35" s="1"/>
  <c r="Y35"/>
  <c r="AA35" s="1"/>
  <c r="T35"/>
  <c r="W35" s="1"/>
  <c r="V35" s="1"/>
  <c r="L35"/>
  <c r="Z35" s="1"/>
  <c r="K35"/>
  <c r="AD34"/>
  <c r="AH34" s="1"/>
  <c r="Y34"/>
  <c r="AA34" s="1"/>
  <c r="T34"/>
  <c r="W34" s="1"/>
  <c r="V34" s="1"/>
  <c r="L34"/>
  <c r="Z34" s="1"/>
  <c r="K34"/>
  <c r="AD33"/>
  <c r="AH33" s="1"/>
  <c r="Y33"/>
  <c r="AA33" s="1"/>
  <c r="T33"/>
  <c r="W33" s="1"/>
  <c r="V33" s="1"/>
  <c r="L33"/>
  <c r="Z33" s="1"/>
  <c r="K33"/>
  <c r="AD32"/>
  <c r="AH32" s="1"/>
  <c r="Y32"/>
  <c r="AA32" s="1"/>
  <c r="T32"/>
  <c r="W32" s="1"/>
  <c r="V32" s="1"/>
  <c r="L32"/>
  <c r="Z32" s="1"/>
  <c r="K32"/>
  <c r="X30"/>
  <c r="X28"/>
  <c r="AD26"/>
  <c r="Y26"/>
  <c r="AA26" s="1"/>
  <c r="L26"/>
  <c r="Z26" s="1"/>
  <c r="K26"/>
  <c r="AD25"/>
  <c r="Y25"/>
  <c r="AA25" s="1"/>
  <c r="L25"/>
  <c r="K25"/>
  <c r="AD24"/>
  <c r="Y24"/>
  <c r="AA24" s="1"/>
  <c r="L24"/>
  <c r="Z24" s="1"/>
  <c r="K24"/>
  <c r="AD23"/>
  <c r="Y23"/>
  <c r="AA23" s="1"/>
  <c r="L23"/>
  <c r="K23"/>
  <c r="AD22"/>
  <c r="Y22"/>
  <c r="AA22" s="1"/>
  <c r="L22"/>
  <c r="Z22" s="1"/>
  <c r="K22"/>
  <c r="AD21"/>
  <c r="Y21"/>
  <c r="AA21" s="1"/>
  <c r="L21"/>
  <c r="Z21" s="1"/>
  <c r="K21"/>
  <c r="AD20"/>
  <c r="Y20"/>
  <c r="AA20" s="1"/>
  <c r="L20"/>
  <c r="K20"/>
  <c r="AD19"/>
  <c r="Y19"/>
  <c r="AA19" s="1"/>
  <c r="L19"/>
  <c r="Z19" s="1"/>
  <c r="K19"/>
  <c r="AD18"/>
  <c r="Y18"/>
  <c r="AA18" s="1"/>
  <c r="L18"/>
  <c r="Z18" s="1"/>
  <c r="K18"/>
  <c r="AD17"/>
  <c r="Y17"/>
  <c r="AA17" s="1"/>
  <c r="L17"/>
  <c r="K17"/>
  <c r="AD16"/>
  <c r="Y16"/>
  <c r="AA16" s="1"/>
  <c r="L16"/>
  <c r="K16"/>
  <c r="AD15"/>
  <c r="Y15"/>
  <c r="AA15" s="1"/>
  <c r="L15"/>
  <c r="K15"/>
  <c r="AD14"/>
  <c r="Y14"/>
  <c r="AA14" s="1"/>
  <c r="L14"/>
  <c r="Z14" s="1"/>
  <c r="K14"/>
  <c r="AD13"/>
  <c r="Y13"/>
  <c r="AA13" s="1"/>
  <c r="L13"/>
  <c r="Z13" s="1"/>
  <c r="K13"/>
  <c r="AD12"/>
  <c r="Y12"/>
  <c r="AA12" s="1"/>
  <c r="L12"/>
  <c r="Z12" s="1"/>
  <c r="K12"/>
  <c r="AD11"/>
  <c r="Y11"/>
  <c r="AA11" s="1"/>
  <c r="L11"/>
  <c r="Z11" s="1"/>
  <c r="K11"/>
  <c r="AD10"/>
  <c r="Y10"/>
  <c r="AA10" s="1"/>
  <c r="L10"/>
  <c r="Z10" s="1"/>
  <c r="K10"/>
  <c r="AD9"/>
  <c r="Y9"/>
  <c r="AA9" s="1"/>
  <c r="L9"/>
  <c r="K9"/>
  <c r="AD8"/>
  <c r="Y8"/>
  <c r="AA8" s="1"/>
  <c r="L8"/>
  <c r="K8"/>
  <c r="AD7"/>
  <c r="Y7"/>
  <c r="AA7" s="1"/>
  <c r="L7"/>
  <c r="K7"/>
  <c r="AD6"/>
  <c r="Y6"/>
  <c r="AA6" s="1"/>
  <c r="L6"/>
  <c r="K6"/>
  <c r="A6"/>
  <c r="A7" s="1"/>
  <c r="A8" s="1"/>
  <c r="A9" s="1"/>
  <c r="A10" s="1"/>
  <c r="AD5"/>
  <c r="Y5"/>
  <c r="Y30" s="1"/>
  <c r="L5"/>
  <c r="Z5" s="1"/>
  <c r="K5"/>
  <c r="A43" i="1"/>
  <c r="F34"/>
  <c r="F32"/>
  <c r="B18"/>
  <c r="L10"/>
  <c r="F9"/>
  <c r="F7"/>
  <c r="X29" i="2"/>
  <c r="T38" i="4" l="1"/>
  <c r="U25"/>
  <c r="U32" i="2"/>
  <c r="AE32"/>
  <c r="U33"/>
  <c r="AE33"/>
  <c r="U34"/>
  <c r="AE34"/>
  <c r="U35"/>
  <c r="AE35"/>
  <c r="U36"/>
  <c r="AE36"/>
  <c r="U37"/>
  <c r="AE37"/>
  <c r="U38"/>
  <c r="AE38"/>
  <c r="AH43"/>
  <c r="B40" i="3"/>
  <c r="C40" s="1"/>
  <c r="T18" i="4"/>
  <c r="AF18"/>
  <c r="Q38"/>
  <c r="AC38"/>
  <c r="N58"/>
  <c r="Z58"/>
  <c r="K78"/>
  <c r="W78"/>
  <c r="AI78"/>
  <c r="T98"/>
  <c r="AF98"/>
  <c r="Q118"/>
  <c r="AC118"/>
  <c r="N138"/>
  <c r="T178"/>
  <c r="AF178"/>
  <c r="Q198"/>
  <c r="AC198"/>
  <c r="N218"/>
  <c r="A11" i="2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44" i="1"/>
  <c r="W43" i="2"/>
  <c r="V43" s="1"/>
  <c r="U43"/>
  <c r="A91"/>
  <c r="A191"/>
  <c r="AA5"/>
  <c r="A301"/>
  <c r="Z7"/>
  <c r="Z15"/>
  <c r="Z23"/>
  <c r="Z20"/>
  <c r="Y28"/>
  <c r="AH42"/>
  <c r="A213"/>
  <c r="A347"/>
  <c r="Z9"/>
  <c r="Z17"/>
  <c r="Z25"/>
  <c r="U42"/>
  <c r="W42"/>
  <c r="V42" s="1"/>
  <c r="A281"/>
  <c r="Z6"/>
  <c r="A169"/>
  <c r="A257"/>
  <c r="A235"/>
  <c r="Z8"/>
  <c r="Z16"/>
  <c r="A566"/>
  <c r="B13" i="3"/>
  <c r="D13" s="1"/>
  <c r="D17" s="1"/>
  <c r="B14"/>
  <c r="D14" s="1"/>
  <c r="B15"/>
  <c r="D15" s="1"/>
  <c r="D19" s="1"/>
  <c r="E19" s="1"/>
  <c r="A412" i="2"/>
  <c r="A456"/>
  <c r="A500"/>
  <c r="A323"/>
  <c r="A522"/>
  <c r="A368"/>
  <c r="A590"/>
  <c r="D40" i="3"/>
  <c r="H14"/>
  <c r="J14" s="1"/>
  <c r="J18" s="1"/>
  <c r="K18" s="1"/>
  <c r="H15"/>
  <c r="J15" s="1"/>
  <c r="J19" s="1"/>
  <c r="K19" s="1"/>
  <c r="H13"/>
  <c r="J13" s="1"/>
  <c r="J17" s="1"/>
  <c r="A390" i="2"/>
  <c r="A434"/>
  <c r="A478"/>
  <c r="H17" i="3"/>
  <c r="G21"/>
  <c r="A544" i="2"/>
  <c r="U14" i="4"/>
  <c r="V5"/>
  <c r="R34"/>
  <c r="S25"/>
  <c r="O54"/>
  <c r="P45"/>
  <c r="L74"/>
  <c r="M65"/>
  <c r="AJ74"/>
  <c r="AK65"/>
  <c r="AG94"/>
  <c r="AH85"/>
  <c r="AD114"/>
  <c r="AE105"/>
  <c r="I12"/>
  <c r="H18"/>
  <c r="I7"/>
  <c r="I11"/>
  <c r="I10"/>
  <c r="I9"/>
  <c r="I8"/>
  <c r="J5" s="1"/>
  <c r="W18"/>
  <c r="X9"/>
  <c r="X12"/>
  <c r="X8"/>
  <c r="X7"/>
  <c r="X6"/>
  <c r="X10"/>
  <c r="Q58"/>
  <c r="R50"/>
  <c r="R49"/>
  <c r="R52"/>
  <c r="R48"/>
  <c r="R47"/>
  <c r="N78"/>
  <c r="O70"/>
  <c r="O69"/>
  <c r="O68"/>
  <c r="O67"/>
  <c r="K98"/>
  <c r="L90"/>
  <c r="L89"/>
  <c r="L92"/>
  <c r="L88"/>
  <c r="L87"/>
  <c r="AI98"/>
  <c r="AJ90"/>
  <c r="AJ89"/>
  <c r="AJ88"/>
  <c r="AJ87"/>
  <c r="AF118"/>
  <c r="AG110"/>
  <c r="AG109"/>
  <c r="AG112"/>
  <c r="AG108"/>
  <c r="AG107"/>
  <c r="AC138"/>
  <c r="AD132"/>
  <c r="AD130"/>
  <c r="AD129"/>
  <c r="AD128"/>
  <c r="AD127"/>
  <c r="Z158"/>
  <c r="AA152"/>
  <c r="AA150"/>
  <c r="AA149"/>
  <c r="AA148"/>
  <c r="AA147"/>
  <c r="W178"/>
  <c r="X172"/>
  <c r="X171"/>
  <c r="X170"/>
  <c r="X169"/>
  <c r="X168"/>
  <c r="X167"/>
  <c r="X174" s="1"/>
  <c r="T198"/>
  <c r="U192"/>
  <c r="U190"/>
  <c r="U189"/>
  <c r="U188"/>
  <c r="U191"/>
  <c r="U187"/>
  <c r="U194" s="1"/>
  <c r="Q218"/>
  <c r="R212"/>
  <c r="R210"/>
  <c r="R209"/>
  <c r="R208"/>
  <c r="R207"/>
  <c r="R211"/>
  <c r="A610" i="2"/>
  <c r="D5" i="4"/>
  <c r="AA14"/>
  <c r="AB5"/>
  <c r="R74"/>
  <c r="S65"/>
  <c r="O94"/>
  <c r="P85"/>
  <c r="L114"/>
  <c r="M105"/>
  <c r="AJ114"/>
  <c r="AK105"/>
  <c r="AH125"/>
  <c r="V205"/>
  <c r="X11"/>
  <c r="U31"/>
  <c r="R51"/>
  <c r="O71"/>
  <c r="L91"/>
  <c r="AJ91"/>
  <c r="AG111"/>
  <c r="AD131"/>
  <c r="AA151"/>
  <c r="AG14"/>
  <c r="AH5"/>
  <c r="AD34"/>
  <c r="AE25"/>
  <c r="AA54"/>
  <c r="AB45"/>
  <c r="X74"/>
  <c r="Y65"/>
  <c r="U94"/>
  <c r="V85"/>
  <c r="R114"/>
  <c r="S105"/>
  <c r="O134"/>
  <c r="P125"/>
  <c r="I14"/>
  <c r="U32"/>
  <c r="A632" i="2"/>
  <c r="B41" i="3"/>
  <c r="C41" s="1"/>
  <c r="D41" s="1"/>
  <c r="A42"/>
  <c r="O14" i="4"/>
  <c r="P5"/>
  <c r="L34"/>
  <c r="M25"/>
  <c r="AJ34"/>
  <c r="AK25"/>
  <c r="AG54"/>
  <c r="AH45"/>
  <c r="AD74"/>
  <c r="AE65"/>
  <c r="AA94"/>
  <c r="AB85"/>
  <c r="X114"/>
  <c r="Y105"/>
  <c r="U134"/>
  <c r="V125"/>
  <c r="O72"/>
  <c r="AJ92"/>
  <c r="S145"/>
  <c r="AE145"/>
  <c r="P165"/>
  <c r="M185"/>
  <c r="Y185"/>
  <c r="AK185"/>
  <c r="R6"/>
  <c r="O26"/>
  <c r="L7"/>
  <c r="AJ7"/>
  <c r="AA29"/>
  <c r="X49"/>
  <c r="U69"/>
  <c r="R89"/>
  <c r="O109"/>
  <c r="L129"/>
  <c r="X30"/>
  <c r="X34" s="1"/>
  <c r="U50"/>
  <c r="U54" s="1"/>
  <c r="AA171"/>
  <c r="AB165" s="1"/>
  <c r="O32"/>
  <c r="AJ52"/>
  <c r="AD92"/>
  <c r="N18"/>
  <c r="AI38"/>
  <c r="AC78"/>
  <c r="W118"/>
  <c r="K198"/>
  <c r="AG29"/>
  <c r="AD49"/>
  <c r="AA69"/>
  <c r="X89"/>
  <c r="U109"/>
  <c r="R129"/>
  <c r="S125" s="1"/>
  <c r="AJ169"/>
  <c r="F10"/>
  <c r="AD10"/>
  <c r="F12"/>
  <c r="AA32"/>
  <c r="U72"/>
  <c r="O112"/>
  <c r="Z18"/>
  <c r="T58"/>
  <c r="N98"/>
  <c r="AI118"/>
  <c r="W198"/>
  <c r="L154"/>
  <c r="AJ154"/>
  <c r="AG174"/>
  <c r="AD194"/>
  <c r="AG30"/>
  <c r="AD50"/>
  <c r="AA70"/>
  <c r="X90"/>
  <c r="U110"/>
  <c r="L12"/>
  <c r="AG32"/>
  <c r="AA72"/>
  <c r="U112"/>
  <c r="AI138"/>
  <c r="AJ132"/>
  <c r="AK125" s="1"/>
  <c r="AF158"/>
  <c r="AG152"/>
  <c r="AH145" s="1"/>
  <c r="AC178"/>
  <c r="AD172"/>
  <c r="AD174" s="1"/>
  <c r="Z198"/>
  <c r="AA192"/>
  <c r="AA194" s="1"/>
  <c r="W218"/>
  <c r="X212"/>
  <c r="Y205" s="1"/>
  <c r="AB125"/>
  <c r="M145"/>
  <c r="Y145"/>
  <c r="AK145"/>
  <c r="V165"/>
  <c r="AH165"/>
  <c r="S185"/>
  <c r="AE185"/>
  <c r="P205"/>
  <c r="F6"/>
  <c r="AD6"/>
  <c r="C14"/>
  <c r="L49"/>
  <c r="AJ49"/>
  <c r="AJ54" s="1"/>
  <c r="AG69"/>
  <c r="AD89"/>
  <c r="AD94" s="1"/>
  <c r="AA109"/>
  <c r="R169"/>
  <c r="L10"/>
  <c r="AJ10"/>
  <c r="R12"/>
  <c r="L52"/>
  <c r="AG72"/>
  <c r="AA112"/>
  <c r="K38"/>
  <c r="AF58"/>
  <c r="Z98"/>
  <c r="N178"/>
  <c r="AI198"/>
  <c r="Z78"/>
  <c r="N158"/>
  <c r="O152"/>
  <c r="O154" s="1"/>
  <c r="K178"/>
  <c r="L172"/>
  <c r="L174" s="1"/>
  <c r="AI178"/>
  <c r="AJ172"/>
  <c r="AF198"/>
  <c r="AG192"/>
  <c r="L6"/>
  <c r="L14" s="1"/>
  <c r="AJ6"/>
  <c r="AD7"/>
  <c r="R10"/>
  <c r="O30"/>
  <c r="AG191"/>
  <c r="AH185" s="1"/>
  <c r="AD12"/>
  <c r="X52"/>
  <c r="R92"/>
  <c r="L132"/>
  <c r="B18"/>
  <c r="W38"/>
  <c r="Q78"/>
  <c r="K118"/>
  <c r="T218"/>
  <c r="AG134"/>
  <c r="AA174"/>
  <c r="U214"/>
  <c r="AJ12"/>
  <c r="AD52"/>
  <c r="X92"/>
  <c r="W138"/>
  <c r="X132"/>
  <c r="X134" s="1"/>
  <c r="T158"/>
  <c r="U152"/>
  <c r="U154" s="1"/>
  <c r="Q178"/>
  <c r="R172"/>
  <c r="N198"/>
  <c r="O192"/>
  <c r="O194" s="1"/>
  <c r="K218"/>
  <c r="L212"/>
  <c r="L214" s="1"/>
  <c r="H5" i="6"/>
  <c r="J5" s="1"/>
  <c r="I5"/>
  <c r="I18"/>
  <c r="I9"/>
  <c r="H9"/>
  <c r="J9" s="1"/>
  <c r="I17"/>
  <c r="H13"/>
  <c r="I13"/>
  <c r="I10"/>
  <c r="H10"/>
  <c r="J10" s="1"/>
  <c r="H7"/>
  <c r="J7" s="1"/>
  <c r="I7"/>
  <c r="I19"/>
  <c r="I16"/>
  <c r="H15"/>
  <c r="J15" s="1"/>
  <c r="I14"/>
  <c r="I15"/>
  <c r="H14"/>
  <c r="J14" s="1"/>
  <c r="I56" i="5"/>
  <c r="I316"/>
  <c r="I6" i="6"/>
  <c r="H6"/>
  <c r="J6" s="1"/>
  <c r="H8"/>
  <c r="J8" s="1"/>
  <c r="I8"/>
  <c r="I12"/>
  <c r="H12"/>
  <c r="J12" s="1"/>
  <c r="I323" i="5"/>
  <c r="I4" i="6"/>
  <c r="H4"/>
  <c r="J4" s="1"/>
  <c r="M43" i="2"/>
  <c r="O43" s="1"/>
  <c r="N37"/>
  <c r="N24"/>
  <c r="N16"/>
  <c r="N8"/>
  <c r="N34"/>
  <c r="N21"/>
  <c r="N13"/>
  <c r="N5"/>
  <c r="N42"/>
  <c r="N26"/>
  <c r="N18"/>
  <c r="N10"/>
  <c r="N36"/>
  <c r="N23"/>
  <c r="N15"/>
  <c r="N7"/>
  <c r="N33"/>
  <c r="N20"/>
  <c r="N12"/>
  <c r="N38"/>
  <c r="N25"/>
  <c r="N17"/>
  <c r="N9"/>
  <c r="O10" i="1"/>
  <c r="N35" i="2"/>
  <c r="N22"/>
  <c r="N14"/>
  <c r="N6"/>
  <c r="N19"/>
  <c r="N43"/>
  <c r="N11"/>
  <c r="N32"/>
  <c r="I11" i="6"/>
  <c r="H11"/>
  <c r="J11" s="1"/>
  <c r="I61" i="5"/>
  <c r="K4" i="6"/>
  <c r="K6"/>
  <c r="K8"/>
  <c r="K11"/>
  <c r="K7"/>
  <c r="K10"/>
  <c r="K9"/>
  <c r="K15"/>
  <c r="K14"/>
  <c r="K5"/>
  <c r="Y29" i="2"/>
  <c r="AE99"/>
  <c r="AJ14" i="4" l="1"/>
  <c r="R174"/>
  <c r="AA114"/>
  <c r="AG74"/>
  <c r="L54"/>
  <c r="AD14"/>
  <c r="AK165"/>
  <c r="V105"/>
  <c r="X94"/>
  <c r="AA74"/>
  <c r="AD54"/>
  <c r="AG34"/>
  <c r="L134"/>
  <c r="O114"/>
  <c r="S85"/>
  <c r="V65"/>
  <c r="X54"/>
  <c r="AA34"/>
  <c r="O34"/>
  <c r="R14"/>
  <c r="P185"/>
  <c r="AB105"/>
  <c r="M45"/>
  <c r="AG194"/>
  <c r="R134"/>
  <c r="U34"/>
  <c r="AG154"/>
  <c r="R94"/>
  <c r="Y25"/>
  <c r="R214"/>
  <c r="S205"/>
  <c r="AA154"/>
  <c r="AD134"/>
  <c r="AE125"/>
  <c r="AG114"/>
  <c r="AJ94"/>
  <c r="L94"/>
  <c r="P65"/>
  <c r="R54"/>
  <c r="X14"/>
  <c r="V185"/>
  <c r="AH105"/>
  <c r="B166"/>
  <c r="B54"/>
  <c r="B183"/>
  <c r="B98"/>
  <c r="B164"/>
  <c r="B46"/>
  <c r="B220"/>
  <c r="B100"/>
  <c r="B162"/>
  <c r="B64"/>
  <c r="B70"/>
  <c r="B179"/>
  <c r="B227"/>
  <c r="B132"/>
  <c r="B232"/>
  <c r="B75"/>
  <c r="B239"/>
  <c r="B91"/>
  <c r="B233"/>
  <c r="B62"/>
  <c r="B231"/>
  <c r="B52"/>
  <c r="B170"/>
  <c r="B106"/>
  <c r="B238"/>
  <c r="B134"/>
  <c r="B211"/>
  <c r="B112"/>
  <c r="M11" i="6"/>
  <c r="N11" s="1"/>
  <c r="M14"/>
  <c r="N14" s="1"/>
  <c r="B165" i="4"/>
  <c r="B67"/>
  <c r="B130"/>
  <c r="B163"/>
  <c r="B171"/>
  <c r="B66"/>
  <c r="S165"/>
  <c r="AE85"/>
  <c r="P25"/>
  <c r="AJ174"/>
  <c r="U114"/>
  <c r="X214"/>
  <c r="AJ134"/>
  <c r="U74"/>
  <c r="B180"/>
  <c r="B125"/>
  <c r="B200"/>
  <c r="B87"/>
  <c r="Y165"/>
  <c r="AK85"/>
  <c r="O74"/>
  <c r="AK5"/>
  <c r="A302" i="2"/>
  <c r="M8" i="6"/>
  <c r="N8" s="1"/>
  <c r="B194" i="4"/>
  <c r="B104"/>
  <c r="B173"/>
  <c r="B138"/>
  <c r="B158"/>
  <c r="B118"/>
  <c r="M165"/>
  <c r="Y85"/>
  <c r="B133"/>
  <c r="B150"/>
  <c r="AB185"/>
  <c r="M125"/>
  <c r="Y45"/>
  <c r="B215"/>
  <c r="B93"/>
  <c r="B241"/>
  <c r="B102"/>
  <c r="A435" i="2"/>
  <c r="S45" i="4"/>
  <c r="A501" i="2"/>
  <c r="A170"/>
  <c r="M4" i="6"/>
  <c r="N4" s="1"/>
  <c r="M6"/>
  <c r="N6" s="1"/>
  <c r="M9"/>
  <c r="N9" s="1"/>
  <c r="B237" i="4"/>
  <c r="B74"/>
  <c r="V145"/>
  <c r="AH65"/>
  <c r="S5"/>
  <c r="B235"/>
  <c r="B131"/>
  <c r="B224"/>
  <c r="B96"/>
  <c r="AB145"/>
  <c r="M85"/>
  <c r="A369" i="2"/>
  <c r="A324"/>
  <c r="AB65" i="4"/>
  <c r="M5"/>
  <c r="A236" i="2"/>
  <c r="A282"/>
  <c r="A214"/>
  <c r="A192"/>
  <c r="M15" i="6"/>
  <c r="N15" s="1"/>
  <c r="M7"/>
  <c r="N7" s="1"/>
  <c r="B210" i="4"/>
  <c r="B85"/>
  <c r="B242"/>
  <c r="B60"/>
  <c r="B228"/>
  <c r="B81"/>
  <c r="B219"/>
  <c r="B116"/>
  <c r="P145"/>
  <c r="B159"/>
  <c r="B115"/>
  <c r="B189"/>
  <c r="B111"/>
  <c r="AE165"/>
  <c r="P105"/>
  <c r="AB25"/>
  <c r="B217"/>
  <c r="B56"/>
  <c r="A611" i="2"/>
  <c r="B199" i="4"/>
  <c r="B50"/>
  <c r="B89"/>
  <c r="B218"/>
  <c r="A545" i="2"/>
  <c r="K17" i="3"/>
  <c r="J21"/>
  <c r="V25" i="4"/>
  <c r="I324" i="5"/>
  <c r="I315"/>
  <c r="M10" i="6"/>
  <c r="N10" s="1"/>
  <c r="B208" i="4"/>
  <c r="B108"/>
  <c r="B222"/>
  <c r="B88"/>
  <c r="M205"/>
  <c r="Y125"/>
  <c r="AK45"/>
  <c r="B213"/>
  <c r="B73"/>
  <c r="V45"/>
  <c r="A391" i="2"/>
  <c r="A457"/>
  <c r="AE45" i="4"/>
  <c r="K12" i="6"/>
  <c r="B229" i="4"/>
  <c r="B122"/>
  <c r="B186"/>
  <c r="B44"/>
  <c r="B92"/>
  <c r="B175"/>
  <c r="B120"/>
  <c r="B187"/>
  <c r="B42" i="3"/>
  <c r="C42" s="1"/>
  <c r="D42" s="1"/>
  <c r="A43"/>
  <c r="B192" i="4"/>
  <c r="B53"/>
  <c r="B181"/>
  <c r="F32"/>
  <c r="B86"/>
  <c r="AE5"/>
  <c r="B196"/>
  <c r="C196" s="1"/>
  <c r="B128"/>
  <c r="C128" s="1"/>
  <c r="B185"/>
  <c r="C185" s="1"/>
  <c r="B68"/>
  <c r="Y5"/>
  <c r="A92" i="2"/>
  <c r="A45" i="1"/>
  <c r="B63" i="2"/>
  <c r="B67"/>
  <c r="F65"/>
  <c r="B59"/>
  <c r="B69"/>
  <c r="A26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B65"/>
  <c r="B61"/>
  <c r="C53"/>
  <c r="B178" i="4"/>
  <c r="C178" s="1"/>
  <c r="B94"/>
  <c r="B240"/>
  <c r="C240" s="1"/>
  <c r="B61"/>
  <c r="B146"/>
  <c r="B80"/>
  <c r="B49"/>
  <c r="B176"/>
  <c r="C176" s="1"/>
  <c r="B205"/>
  <c r="C205" s="1"/>
  <c r="B43"/>
  <c r="B153"/>
  <c r="C153" s="1"/>
  <c r="B77"/>
  <c r="B230"/>
  <c r="C230" s="1"/>
  <c r="B127"/>
  <c r="C127" s="1"/>
  <c r="A479" i="2"/>
  <c r="E17" i="3"/>
  <c r="D21"/>
  <c r="AH25" i="4"/>
  <c r="A258" i="2"/>
  <c r="P43"/>
  <c r="M12" i="6"/>
  <c r="N12" s="1"/>
  <c r="B204" i="4"/>
  <c r="B103"/>
  <c r="C103" s="1"/>
  <c r="B202"/>
  <c r="C202" s="1"/>
  <c r="B69"/>
  <c r="I62" i="5"/>
  <c r="I55"/>
  <c r="K13" i="6"/>
  <c r="J13"/>
  <c r="M13" s="1"/>
  <c r="N13" s="1"/>
  <c r="M5"/>
  <c r="N5" s="1"/>
  <c r="F14" i="4"/>
  <c r="B221"/>
  <c r="C221" s="1"/>
  <c r="B42"/>
  <c r="B114"/>
  <c r="C114" s="1"/>
  <c r="B206"/>
  <c r="C206" s="1"/>
  <c r="B156"/>
  <c r="C156" s="1"/>
  <c r="B109"/>
  <c r="C109" s="1"/>
  <c r="B149"/>
  <c r="C149" s="1"/>
  <c r="B63"/>
  <c r="A633" i="2"/>
  <c r="B154" i="4"/>
  <c r="C154" s="1"/>
  <c r="B82"/>
  <c r="B197"/>
  <c r="C197" s="1"/>
  <c r="B107"/>
  <c r="C107" s="1"/>
  <c r="G5"/>
  <c r="B167"/>
  <c r="C167" s="1"/>
  <c r="B47"/>
  <c r="B45"/>
  <c r="B201"/>
  <c r="C201" s="1"/>
  <c r="A591" i="2"/>
  <c r="A523"/>
  <c r="A413"/>
  <c r="A567"/>
  <c r="A348"/>
  <c r="C181" i="4" l="1"/>
  <c r="C187"/>
  <c r="C120"/>
  <c r="C122"/>
  <c r="C229"/>
  <c r="C213"/>
  <c r="C219"/>
  <c r="L12" i="6"/>
  <c r="O12"/>
  <c r="R12" s="1"/>
  <c r="R34" s="1"/>
  <c r="A480" i="2"/>
  <c r="C192" i="4"/>
  <c r="C186"/>
  <c r="B223"/>
  <c r="C223" s="1"/>
  <c r="B99"/>
  <c r="C99" s="1"/>
  <c r="C108"/>
  <c r="E56"/>
  <c r="E217" s="1"/>
  <c r="M35" i="2" s="1"/>
  <c r="C56" i="4"/>
  <c r="C159"/>
  <c r="C85"/>
  <c r="E85"/>
  <c r="E210" s="1"/>
  <c r="M42" i="2" s="1"/>
  <c r="C224" i="4"/>
  <c r="O9" i="6"/>
  <c r="R9" s="1"/>
  <c r="R31" s="1"/>
  <c r="L9"/>
  <c r="C150" i="4"/>
  <c r="C104"/>
  <c r="A303" i="2"/>
  <c r="C200" i="4"/>
  <c r="E67"/>
  <c r="E165" s="1"/>
  <c r="C67"/>
  <c r="C106"/>
  <c r="E75"/>
  <c r="E232" s="1"/>
  <c r="C75"/>
  <c r="C100"/>
  <c r="B117"/>
  <c r="C117" s="1"/>
  <c r="B152"/>
  <c r="C152" s="1"/>
  <c r="E63"/>
  <c r="E149" s="1"/>
  <c r="C63"/>
  <c r="A44" i="3"/>
  <c r="B43"/>
  <c r="C43" s="1"/>
  <c r="B234" i="4"/>
  <c r="C234" s="1"/>
  <c r="B72"/>
  <c r="E73"/>
  <c r="E213" s="1"/>
  <c r="C73"/>
  <c r="C208"/>
  <c r="C218"/>
  <c r="C217"/>
  <c r="B236"/>
  <c r="C236" s="1"/>
  <c r="B126"/>
  <c r="C126" s="1"/>
  <c r="C210"/>
  <c r="A193" i="2"/>
  <c r="C131" i="4"/>
  <c r="L6" i="6"/>
  <c r="O6"/>
  <c r="R6" s="1"/>
  <c r="R28" s="1"/>
  <c r="C102" i="4"/>
  <c r="C133"/>
  <c r="C194"/>
  <c r="C125"/>
  <c r="B113"/>
  <c r="C113" s="1"/>
  <c r="B155"/>
  <c r="C155" s="1"/>
  <c r="C165"/>
  <c r="O11" i="6"/>
  <c r="R11" s="1"/>
  <c r="R33" s="1"/>
  <c r="L11"/>
  <c r="C170" i="4"/>
  <c r="C232"/>
  <c r="C220"/>
  <c r="A592" i="2"/>
  <c r="O5" i="6"/>
  <c r="R5" s="1"/>
  <c r="R27" s="1"/>
  <c r="L5"/>
  <c r="I63" i="5"/>
  <c r="A259" i="2"/>
  <c r="E49" i="4"/>
  <c r="E176" s="1"/>
  <c r="C49"/>
  <c r="A46" i="1"/>
  <c r="A458" i="2"/>
  <c r="L10" i="6"/>
  <c r="O10"/>
  <c r="R10" s="1"/>
  <c r="R32" s="1"/>
  <c r="C89" i="4"/>
  <c r="B216"/>
  <c r="C216" s="1"/>
  <c r="B105"/>
  <c r="C105" s="1"/>
  <c r="C116"/>
  <c r="O7" i="6"/>
  <c r="R7" s="1"/>
  <c r="R29" s="1"/>
  <c r="L7"/>
  <c r="A237" i="2"/>
  <c r="A370"/>
  <c r="C235" i="4"/>
  <c r="L4" i="6"/>
  <c r="O4"/>
  <c r="R4" s="1"/>
  <c r="A502" i="2"/>
  <c r="C241" i="4"/>
  <c r="B78"/>
  <c r="B147"/>
  <c r="C147" s="1"/>
  <c r="O8" i="6"/>
  <c r="R8" s="1"/>
  <c r="R30" s="1"/>
  <c r="L8"/>
  <c r="C180" i="4"/>
  <c r="B177"/>
  <c r="C177" s="1"/>
  <c r="B97"/>
  <c r="C97" s="1"/>
  <c r="L14" i="6"/>
  <c r="O14"/>
  <c r="R14" s="1"/>
  <c r="R36" s="1"/>
  <c r="E52" i="4"/>
  <c r="E231" s="1"/>
  <c r="C52"/>
  <c r="C132"/>
  <c r="E46"/>
  <c r="E164" s="1"/>
  <c r="C46"/>
  <c r="C80"/>
  <c r="E80"/>
  <c r="B51"/>
  <c r="B169"/>
  <c r="C169" s="1"/>
  <c r="I314" i="5"/>
  <c r="B168" i="4"/>
  <c r="C168" s="1"/>
  <c r="B48"/>
  <c r="C50"/>
  <c r="E50"/>
  <c r="E199" s="1"/>
  <c r="B145"/>
  <c r="C145" s="1"/>
  <c r="B95"/>
  <c r="C95" s="1"/>
  <c r="O15" i="6"/>
  <c r="R15" s="1"/>
  <c r="L15"/>
  <c r="B207" i="4"/>
  <c r="C207" s="1"/>
  <c r="B119"/>
  <c r="C119" s="1"/>
  <c r="C93"/>
  <c r="B129"/>
  <c r="C129" s="1"/>
  <c r="B190"/>
  <c r="C190" s="1"/>
  <c r="S43" i="2"/>
  <c r="B137" i="4"/>
  <c r="C137" s="1"/>
  <c r="B214"/>
  <c r="C214" s="1"/>
  <c r="B151"/>
  <c r="C151" s="1"/>
  <c r="B135"/>
  <c r="C135" s="1"/>
  <c r="C231"/>
  <c r="C227"/>
  <c r="C164"/>
  <c r="C146"/>
  <c r="E146"/>
  <c r="A93" i="2"/>
  <c r="E86" i="4"/>
  <c r="E181" s="1"/>
  <c r="C86"/>
  <c r="B148"/>
  <c r="C148" s="1"/>
  <c r="B58"/>
  <c r="C199"/>
  <c r="B136"/>
  <c r="C136" s="1"/>
  <c r="B161"/>
  <c r="C161" s="1"/>
  <c r="E81"/>
  <c r="E228" s="1"/>
  <c r="C81"/>
  <c r="A215" i="2"/>
  <c r="B121" i="4"/>
  <c r="C121" s="1"/>
  <c r="B203"/>
  <c r="C203" s="1"/>
  <c r="C215"/>
  <c r="D215" s="1"/>
  <c r="C118"/>
  <c r="E66"/>
  <c r="E171" s="1"/>
  <c r="C66"/>
  <c r="C112"/>
  <c r="D112" s="1"/>
  <c r="E112" s="1"/>
  <c r="E211" s="1"/>
  <c r="E62"/>
  <c r="E233" s="1"/>
  <c r="C62"/>
  <c r="C179"/>
  <c r="C98"/>
  <c r="D98" s="1"/>
  <c r="E98" s="1"/>
  <c r="E183" s="1"/>
  <c r="L13" i="6"/>
  <c r="O13"/>
  <c r="R13" s="1"/>
  <c r="R35" s="1"/>
  <c r="D206" i="4"/>
  <c r="I54" i="5"/>
  <c r="B59" i="4"/>
  <c r="B157"/>
  <c r="C157" s="1"/>
  <c r="E77"/>
  <c r="E153" s="1"/>
  <c r="C77"/>
  <c r="E61"/>
  <c r="E240" s="1"/>
  <c r="C61"/>
  <c r="F61" i="2"/>
  <c r="F63"/>
  <c r="C175" i="4"/>
  <c r="D175" s="1"/>
  <c r="A392" i="2"/>
  <c r="B209" i="4"/>
  <c r="C209" s="1"/>
  <c r="D209" s="1"/>
  <c r="B101"/>
  <c r="C101" s="1"/>
  <c r="D101" s="1"/>
  <c r="E101" s="1"/>
  <c r="E209" s="1"/>
  <c r="I325" i="5"/>
  <c r="A612" i="2"/>
  <c r="C111" i="4"/>
  <c r="D111" s="1"/>
  <c r="E111" s="1"/>
  <c r="E189" s="1"/>
  <c r="C228"/>
  <c r="B212"/>
  <c r="C212" s="1"/>
  <c r="B55"/>
  <c r="B110"/>
  <c r="C110" s="1"/>
  <c r="D110" s="1"/>
  <c r="E110" s="1"/>
  <c r="E184" s="1"/>
  <c r="B184"/>
  <c r="C184" s="1"/>
  <c r="D184" s="1"/>
  <c r="B182"/>
  <c r="C182" s="1"/>
  <c r="B124"/>
  <c r="C124" s="1"/>
  <c r="B188"/>
  <c r="C188" s="1"/>
  <c r="B76"/>
  <c r="B225"/>
  <c r="C225" s="1"/>
  <c r="B123"/>
  <c r="C123" s="1"/>
  <c r="C158"/>
  <c r="B79"/>
  <c r="B195"/>
  <c r="C195" s="1"/>
  <c r="C171"/>
  <c r="C211"/>
  <c r="D211" s="1"/>
  <c r="C233"/>
  <c r="E70"/>
  <c r="E179" s="1"/>
  <c r="C70"/>
  <c r="C183"/>
  <c r="D183" s="1"/>
  <c r="B160"/>
  <c r="C160" s="1"/>
  <c r="B41"/>
  <c r="A414" i="2"/>
  <c r="E82" i="4"/>
  <c r="E154" s="1"/>
  <c r="C82"/>
  <c r="A349" i="2"/>
  <c r="D114" i="4"/>
  <c r="E114" s="1"/>
  <c r="E206" s="1"/>
  <c r="O64" i="2"/>
  <c r="B191" i="4"/>
  <c r="C191" s="1"/>
  <c r="B83"/>
  <c r="C92"/>
  <c r="D92" s="1"/>
  <c r="E92" s="1"/>
  <c r="E175" s="1"/>
  <c r="C88"/>
  <c r="D88" s="1"/>
  <c r="E88" s="1"/>
  <c r="E222" s="1"/>
  <c r="A546" i="2"/>
  <c r="C189" i="4"/>
  <c r="D189" s="1"/>
  <c r="E60"/>
  <c r="E242" s="1"/>
  <c r="C60"/>
  <c r="B90"/>
  <c r="C90" s="1"/>
  <c r="D90" s="1"/>
  <c r="E90" s="1"/>
  <c r="E174" s="1"/>
  <c r="B174"/>
  <c r="C174" s="1"/>
  <c r="D174" s="1"/>
  <c r="B57"/>
  <c r="B172"/>
  <c r="E74"/>
  <c r="E237" s="1"/>
  <c r="C74"/>
  <c r="A436" i="2"/>
  <c r="B198" i="4"/>
  <c r="C198" s="1"/>
  <c r="B71"/>
  <c r="C138"/>
  <c r="D230" s="1"/>
  <c r="B84"/>
  <c r="B193"/>
  <c r="C193" s="1"/>
  <c r="C163"/>
  <c r="D163" s="1"/>
  <c r="C134"/>
  <c r="D134" s="1"/>
  <c r="E134" s="1"/>
  <c r="E238" s="1"/>
  <c r="C91"/>
  <c r="D91" s="1"/>
  <c r="E91" s="1"/>
  <c r="E239" s="1"/>
  <c r="E64"/>
  <c r="E162" s="1"/>
  <c r="C64"/>
  <c r="E54"/>
  <c r="E166" s="1"/>
  <c r="C54"/>
  <c r="A568" i="2"/>
  <c r="D109" i="4"/>
  <c r="E109" s="1"/>
  <c r="E156" s="1"/>
  <c r="D156"/>
  <c r="E69"/>
  <c r="E202" s="1"/>
  <c r="C69"/>
  <c r="E45"/>
  <c r="E201" s="1"/>
  <c r="C45"/>
  <c r="A634" i="2"/>
  <c r="D103" i="4"/>
  <c r="E103" s="1"/>
  <c r="E204" s="1"/>
  <c r="A524" i="2"/>
  <c r="E47" i="4"/>
  <c r="E167" s="1"/>
  <c r="C47"/>
  <c r="E42"/>
  <c r="E221" s="1"/>
  <c r="C42"/>
  <c r="C204"/>
  <c r="D204" s="1"/>
  <c r="C43"/>
  <c r="D202" s="1"/>
  <c r="E43"/>
  <c r="E205" s="1"/>
  <c r="C523" i="2" s="1"/>
  <c r="C94" i="4"/>
  <c r="D94" s="1"/>
  <c r="E94" s="1"/>
  <c r="E178" s="1"/>
  <c r="B282" i="2" s="1"/>
  <c r="B71"/>
  <c r="E68" i="4"/>
  <c r="E185" s="1"/>
  <c r="C68"/>
  <c r="D68" s="1"/>
  <c r="E53"/>
  <c r="E192" s="1"/>
  <c r="C53"/>
  <c r="D53" s="1"/>
  <c r="C44"/>
  <c r="D44" s="1"/>
  <c r="E44"/>
  <c r="E186" s="1"/>
  <c r="C222"/>
  <c r="D222" s="1"/>
  <c r="C115"/>
  <c r="D115" s="1"/>
  <c r="E115" s="1"/>
  <c r="E159" s="1"/>
  <c r="C242"/>
  <c r="D242" s="1"/>
  <c r="C282" i="2"/>
  <c r="A283"/>
  <c r="A325"/>
  <c r="C96" i="4"/>
  <c r="D96" s="1"/>
  <c r="E96" s="1"/>
  <c r="E224" s="1"/>
  <c r="C237"/>
  <c r="D237" s="1"/>
  <c r="C170" i="2"/>
  <c r="B170"/>
  <c r="A171"/>
  <c r="B65" i="4"/>
  <c r="B226"/>
  <c r="C226" s="1"/>
  <c r="C173"/>
  <c r="C87"/>
  <c r="D87" s="1"/>
  <c r="E87" s="1"/>
  <c r="E200" s="1"/>
  <c r="C130"/>
  <c r="D130" s="1"/>
  <c r="E130" s="1"/>
  <c r="E163" s="1"/>
  <c r="C238"/>
  <c r="D238" s="1"/>
  <c r="C239"/>
  <c r="D239" s="1"/>
  <c r="C162"/>
  <c r="D162" s="1"/>
  <c r="C166"/>
  <c r="D166" s="1"/>
  <c r="D47" l="1"/>
  <c r="D240"/>
  <c r="D198"/>
  <c r="D176"/>
  <c r="D241"/>
  <c r="D178"/>
  <c r="C171" i="2"/>
  <c r="B171"/>
  <c r="A172"/>
  <c r="B283"/>
  <c r="C283"/>
  <c r="A284"/>
  <c r="D69" i="4"/>
  <c r="C172"/>
  <c r="D172" s="1"/>
  <c r="E172"/>
  <c r="C387" i="2"/>
  <c r="D387" s="1"/>
  <c r="C389"/>
  <c r="B389"/>
  <c r="M15"/>
  <c r="B387"/>
  <c r="B388"/>
  <c r="C388"/>
  <c r="B390"/>
  <c r="C390"/>
  <c r="D171" i="4"/>
  <c r="D124"/>
  <c r="E124" s="1"/>
  <c r="E182" s="1"/>
  <c r="A613" i="2"/>
  <c r="B391"/>
  <c r="D201" i="4"/>
  <c r="D66"/>
  <c r="D120"/>
  <c r="E120" s="1"/>
  <c r="E187" s="1"/>
  <c r="D127"/>
  <c r="E127" s="1"/>
  <c r="E230" s="1"/>
  <c r="R43" i="2"/>
  <c r="AB43" s="1"/>
  <c r="AF43" s="1"/>
  <c r="AG43" s="1"/>
  <c r="Q43" s="1"/>
  <c r="D219" i="4"/>
  <c r="D132"/>
  <c r="E132" s="1"/>
  <c r="E227" s="1"/>
  <c r="R22" i="6"/>
  <c r="R26"/>
  <c r="D232" i="4"/>
  <c r="D194"/>
  <c r="D106"/>
  <c r="E106" s="1"/>
  <c r="E170" s="1"/>
  <c r="D150"/>
  <c r="O35" i="2"/>
  <c r="P35"/>
  <c r="A481"/>
  <c r="D221" i="4"/>
  <c r="D42"/>
  <c r="D153"/>
  <c r="D64"/>
  <c r="C71"/>
  <c r="D71" s="1"/>
  <c r="E71"/>
  <c r="E198" s="1"/>
  <c r="C57"/>
  <c r="D57" s="1"/>
  <c r="E57"/>
  <c r="A350" i="2"/>
  <c r="E41" i="4"/>
  <c r="E160" s="1"/>
  <c r="C41"/>
  <c r="D195"/>
  <c r="D182"/>
  <c r="C391" i="2"/>
  <c r="D157" i="4"/>
  <c r="D81"/>
  <c r="D164"/>
  <c r="D190"/>
  <c r="D95"/>
  <c r="E95" s="1"/>
  <c r="E145" s="1"/>
  <c r="D169"/>
  <c r="D52"/>
  <c r="D213"/>
  <c r="D49"/>
  <c r="D170"/>
  <c r="D133"/>
  <c r="E133" s="1"/>
  <c r="E150" s="1"/>
  <c r="D210"/>
  <c r="C72"/>
  <c r="D72" s="1"/>
  <c r="E72"/>
  <c r="E234" s="1"/>
  <c r="B612" i="2" s="1"/>
  <c r="D63" i="4"/>
  <c r="D67"/>
  <c r="D108"/>
  <c r="E108" s="1"/>
  <c r="E208" s="1"/>
  <c r="C79"/>
  <c r="D79" s="1"/>
  <c r="E79"/>
  <c r="E195" s="1"/>
  <c r="C59"/>
  <c r="D59" s="1"/>
  <c r="E59"/>
  <c r="E157" s="1"/>
  <c r="D118"/>
  <c r="E118" s="1"/>
  <c r="E158" s="1"/>
  <c r="D227"/>
  <c r="D129"/>
  <c r="E129" s="1"/>
  <c r="E190" s="1"/>
  <c r="M38" i="2" s="1"/>
  <c r="D145" i="4"/>
  <c r="E51"/>
  <c r="E169" s="1"/>
  <c r="C51"/>
  <c r="D51" s="1"/>
  <c r="D147"/>
  <c r="D235"/>
  <c r="A459" i="2"/>
  <c r="D149" i="4"/>
  <c r="D102"/>
  <c r="E102" s="1"/>
  <c r="E241" s="1"/>
  <c r="C91" i="2" s="1"/>
  <c r="D126" i="4"/>
  <c r="E126" s="1"/>
  <c r="E236" s="1"/>
  <c r="D234"/>
  <c r="D99"/>
  <c r="E99" s="1"/>
  <c r="E223" s="1"/>
  <c r="C634" i="2"/>
  <c r="B634"/>
  <c r="A635"/>
  <c r="B436"/>
  <c r="C436"/>
  <c r="A437"/>
  <c r="D158" i="4"/>
  <c r="I326" i="5"/>
  <c r="D161" i="4"/>
  <c r="C93" i="2"/>
  <c r="A94"/>
  <c r="D231" i="4"/>
  <c r="D93"/>
  <c r="E93" s="1"/>
  <c r="E215" s="1"/>
  <c r="M36" i="2" s="1"/>
  <c r="D187" i="4"/>
  <c r="E78"/>
  <c r="E147" s="1"/>
  <c r="C78"/>
  <c r="D78" s="1"/>
  <c r="C370" i="2"/>
  <c r="B370"/>
  <c r="A371"/>
  <c r="D116" i="4"/>
  <c r="E116" s="1"/>
  <c r="E219" s="1"/>
  <c r="C259" i="2"/>
  <c r="B259"/>
  <c r="A260"/>
  <c r="D107" i="4"/>
  <c r="E107" s="1"/>
  <c r="E197" s="1"/>
  <c r="D236"/>
  <c r="D122"/>
  <c r="E122" s="1"/>
  <c r="E229" s="1"/>
  <c r="D200"/>
  <c r="D224"/>
  <c r="H17" i="6" s="1"/>
  <c r="D223" i="4"/>
  <c r="A569" i="2"/>
  <c r="D60" i="4"/>
  <c r="C83"/>
  <c r="D83" s="1"/>
  <c r="E83"/>
  <c r="E191" s="1"/>
  <c r="D82"/>
  <c r="D70"/>
  <c r="D123"/>
  <c r="E123" s="1"/>
  <c r="E225" s="1"/>
  <c r="C568" i="2" s="1"/>
  <c r="E55" i="4"/>
  <c r="E212" s="1"/>
  <c r="M33" i="2" s="1"/>
  <c r="C55" i="4"/>
  <c r="D55" s="1"/>
  <c r="I53" i="5"/>
  <c r="D179" i="4"/>
  <c r="D203"/>
  <c r="D136"/>
  <c r="E136" s="1"/>
  <c r="E161" s="1"/>
  <c r="C92" i="2"/>
  <c r="D135" i="4"/>
  <c r="E135" s="1"/>
  <c r="E151" s="1"/>
  <c r="D119"/>
  <c r="E119" s="1"/>
  <c r="E207" s="1"/>
  <c r="D50"/>
  <c r="D105"/>
  <c r="E105" s="1"/>
  <c r="E216" s="1"/>
  <c r="A593" i="2"/>
  <c r="D165" i="4"/>
  <c r="D217"/>
  <c r="K13" i="3"/>
  <c r="M13" s="1"/>
  <c r="M17" s="1"/>
  <c r="K14"/>
  <c r="M14" s="1"/>
  <c r="M18" s="1"/>
  <c r="N18" s="1"/>
  <c r="D43"/>
  <c r="K15"/>
  <c r="M15" s="1"/>
  <c r="M19" s="1"/>
  <c r="N19" s="1"/>
  <c r="C303" i="2"/>
  <c r="B303"/>
  <c r="A304"/>
  <c r="O42"/>
  <c r="P42"/>
  <c r="D186" i="4"/>
  <c r="A326" i="2"/>
  <c r="B524"/>
  <c r="C524"/>
  <c r="A525"/>
  <c r="D191" i="4"/>
  <c r="D225"/>
  <c r="D212"/>
  <c r="D61"/>
  <c r="D62"/>
  <c r="D121"/>
  <c r="E121" s="1"/>
  <c r="E203" s="1"/>
  <c r="D199"/>
  <c r="D151"/>
  <c r="D207"/>
  <c r="E48"/>
  <c r="E168" s="1"/>
  <c r="C48"/>
  <c r="D48" s="1"/>
  <c r="D80"/>
  <c r="D97"/>
  <c r="E97" s="1"/>
  <c r="E177" s="1"/>
  <c r="C502" i="2"/>
  <c r="B502"/>
  <c r="A503"/>
  <c r="D216" i="4"/>
  <c r="D229"/>
  <c r="D155"/>
  <c r="D131"/>
  <c r="E131" s="1"/>
  <c r="E235" s="1"/>
  <c r="D218"/>
  <c r="H16" i="6" s="1"/>
  <c r="A45" i="3"/>
  <c r="B44"/>
  <c r="C44" s="1"/>
  <c r="D44" s="1"/>
  <c r="D100" i="4"/>
  <c r="E100" s="1"/>
  <c r="E220" s="1"/>
  <c r="C458" i="2" s="1"/>
  <c r="D85" i="4"/>
  <c r="D192"/>
  <c r="D167"/>
  <c r="B277" i="2"/>
  <c r="C277"/>
  <c r="D277" s="1"/>
  <c r="B279"/>
  <c r="C280"/>
  <c r="C279"/>
  <c r="B280"/>
  <c r="M10"/>
  <c r="C278"/>
  <c r="B278"/>
  <c r="B281"/>
  <c r="C281"/>
  <c r="D226" i="4"/>
  <c r="C519" i="2"/>
  <c r="D519" s="1"/>
  <c r="B519"/>
  <c r="B520"/>
  <c r="C520"/>
  <c r="M21"/>
  <c r="C521"/>
  <c r="B521"/>
  <c r="C522"/>
  <c r="B522"/>
  <c r="B523"/>
  <c r="D45" i="4"/>
  <c r="D193"/>
  <c r="D74"/>
  <c r="C90" i="2"/>
  <c r="C414"/>
  <c r="B414"/>
  <c r="A415"/>
  <c r="D233" i="4"/>
  <c r="E76"/>
  <c r="E188" s="1"/>
  <c r="C76"/>
  <c r="D76" s="1"/>
  <c r="D228"/>
  <c r="A216" i="2"/>
  <c r="C58" i="4"/>
  <c r="D58" s="1"/>
  <c r="E58"/>
  <c r="E148" s="1"/>
  <c r="D146"/>
  <c r="D214"/>
  <c r="D168"/>
  <c r="D46"/>
  <c r="D177"/>
  <c r="A238" i="2"/>
  <c r="D89" i="4"/>
  <c r="E89" s="1"/>
  <c r="E218" s="1"/>
  <c r="B592" i="2" s="1"/>
  <c r="D196" i="4"/>
  <c r="I64" i="5"/>
  <c r="D113" i="4"/>
  <c r="E113" s="1"/>
  <c r="E155" s="1"/>
  <c r="C193" i="2"/>
  <c r="B193"/>
  <c r="A194"/>
  <c r="D208" i="4"/>
  <c r="D128"/>
  <c r="E128" s="1"/>
  <c r="E196" s="1"/>
  <c r="D75"/>
  <c r="D159"/>
  <c r="D185"/>
  <c r="D197"/>
  <c r="E65"/>
  <c r="E226" s="1"/>
  <c r="C65"/>
  <c r="D65" s="1"/>
  <c r="F29"/>
  <c r="F28"/>
  <c r="F30"/>
  <c r="D54"/>
  <c r="E84"/>
  <c r="E193" s="1"/>
  <c r="C84"/>
  <c r="D84" s="1"/>
  <c r="C546" i="2"/>
  <c r="B546"/>
  <c r="A547"/>
  <c r="D188" i="4"/>
  <c r="C392" i="2"/>
  <c r="B392"/>
  <c r="A393"/>
  <c r="D77" i="4"/>
  <c r="D154"/>
  <c r="D148"/>
  <c r="D137"/>
  <c r="E137" s="1"/>
  <c r="E214" s="1"/>
  <c r="I313" i="5"/>
  <c r="B167" i="2"/>
  <c r="C168"/>
  <c r="B168"/>
  <c r="M5"/>
  <c r="C167"/>
  <c r="D167" s="1"/>
  <c r="C169"/>
  <c r="B169"/>
  <c r="D180" i="4"/>
  <c r="A47" i="1"/>
  <c r="D220" i="4"/>
  <c r="D125"/>
  <c r="E125" s="1"/>
  <c r="E180" s="1"/>
  <c r="D73"/>
  <c r="D104"/>
  <c r="E104" s="1"/>
  <c r="E194" s="1"/>
  <c r="D56"/>
  <c r="R23" i="6"/>
  <c r="F167" i="2" l="1"/>
  <c r="B215"/>
  <c r="C215"/>
  <c r="F277"/>
  <c r="B325"/>
  <c r="S42"/>
  <c r="C592"/>
  <c r="S35"/>
  <c r="A46" i="3"/>
  <c r="B45"/>
  <c r="C45" s="1"/>
  <c r="D45" s="1"/>
  <c r="M23" i="2"/>
  <c r="C345"/>
  <c r="B299"/>
  <c r="B345"/>
  <c r="B344"/>
  <c r="B564"/>
  <c r="M13"/>
  <c r="C344"/>
  <c r="C564"/>
  <c r="C563"/>
  <c r="D563" s="1"/>
  <c r="M11"/>
  <c r="C300"/>
  <c r="B300"/>
  <c r="C346"/>
  <c r="C299"/>
  <c r="D299" s="1"/>
  <c r="B343"/>
  <c r="C565"/>
  <c r="M37"/>
  <c r="B346"/>
  <c r="C343"/>
  <c r="D343" s="1"/>
  <c r="B563"/>
  <c r="F563" s="1"/>
  <c r="B565"/>
  <c r="B347"/>
  <c r="B566"/>
  <c r="C301"/>
  <c r="C566"/>
  <c r="B301"/>
  <c r="C347"/>
  <c r="B302"/>
  <c r="C567"/>
  <c r="B567"/>
  <c r="C302"/>
  <c r="B348"/>
  <c r="C348"/>
  <c r="B635"/>
  <c r="C635"/>
  <c r="A636"/>
  <c r="B459"/>
  <c r="C459"/>
  <c r="A460"/>
  <c r="P38"/>
  <c r="O38"/>
  <c r="S38" s="1"/>
  <c r="C89"/>
  <c r="D89" s="1"/>
  <c r="C612"/>
  <c r="F387"/>
  <c r="C284"/>
  <c r="B284"/>
  <c r="A285"/>
  <c r="B233"/>
  <c r="C234"/>
  <c r="C233"/>
  <c r="D233" s="1"/>
  <c r="B234"/>
  <c r="M8"/>
  <c r="B235"/>
  <c r="C235"/>
  <c r="B236"/>
  <c r="C236"/>
  <c r="A48" i="1"/>
  <c r="C393" i="2"/>
  <c r="B393"/>
  <c r="A394"/>
  <c r="E167"/>
  <c r="G167"/>
  <c r="I65" i="5"/>
  <c r="J16" i="6"/>
  <c r="K16"/>
  <c r="C326" i="2"/>
  <c r="B326"/>
  <c r="A327"/>
  <c r="B593"/>
  <c r="C593"/>
  <c r="A594"/>
  <c r="C569"/>
  <c r="B569"/>
  <c r="A570"/>
  <c r="B458"/>
  <c r="P15"/>
  <c r="O15"/>
  <c r="I312" i="5"/>
  <c r="P21" i="2"/>
  <c r="O21"/>
  <c r="E277"/>
  <c r="G277" s="1"/>
  <c r="C325"/>
  <c r="B568"/>
  <c r="B260"/>
  <c r="C260"/>
  <c r="A261"/>
  <c r="I327" i="5"/>
  <c r="B189" i="2"/>
  <c r="C607"/>
  <c r="D607" s="1"/>
  <c r="B366"/>
  <c r="M32"/>
  <c r="C189"/>
  <c r="D189" s="1"/>
  <c r="M14"/>
  <c r="B607"/>
  <c r="C431"/>
  <c r="D431" s="1"/>
  <c r="C609"/>
  <c r="M16"/>
  <c r="C190"/>
  <c r="C365"/>
  <c r="D365" s="1"/>
  <c r="B367"/>
  <c r="B609"/>
  <c r="M6"/>
  <c r="B190"/>
  <c r="B431"/>
  <c r="F431" s="1"/>
  <c r="C367"/>
  <c r="C433"/>
  <c r="C432"/>
  <c r="B433"/>
  <c r="B432"/>
  <c r="O9" i="1"/>
  <c r="C47" s="1"/>
  <c r="M17" i="2"/>
  <c r="B365"/>
  <c r="F365" s="1"/>
  <c r="B411"/>
  <c r="C410"/>
  <c r="B608"/>
  <c r="B409"/>
  <c r="C409"/>
  <c r="D409" s="1"/>
  <c r="C411"/>
  <c r="C366"/>
  <c r="B410"/>
  <c r="C608"/>
  <c r="M25"/>
  <c r="C434"/>
  <c r="B610"/>
  <c r="C412"/>
  <c r="C610"/>
  <c r="B412"/>
  <c r="C368"/>
  <c r="B368"/>
  <c r="B191"/>
  <c r="C191"/>
  <c r="B434"/>
  <c r="B192"/>
  <c r="C413"/>
  <c r="O63"/>
  <c r="C313" i="5" s="1"/>
  <c r="C369" i="2"/>
  <c r="B91"/>
  <c r="C435"/>
  <c r="B369"/>
  <c r="B89"/>
  <c r="F89" s="1"/>
  <c r="B93"/>
  <c r="B435"/>
  <c r="C611"/>
  <c r="B92"/>
  <c r="B611"/>
  <c r="C192"/>
  <c r="B413"/>
  <c r="B90"/>
  <c r="C481"/>
  <c r="B481"/>
  <c r="A482"/>
  <c r="C256"/>
  <c r="C629"/>
  <c r="D629" s="1"/>
  <c r="B477"/>
  <c r="M26"/>
  <c r="B629"/>
  <c r="F629" s="1"/>
  <c r="C475"/>
  <c r="D475" s="1"/>
  <c r="M19"/>
  <c r="M9"/>
  <c r="C255"/>
  <c r="D255" s="1"/>
  <c r="B475"/>
  <c r="C630"/>
  <c r="C476"/>
  <c r="B631"/>
  <c r="B630"/>
  <c r="B255"/>
  <c r="F255" s="1"/>
  <c r="B256"/>
  <c r="C477"/>
  <c r="B476"/>
  <c r="C631"/>
  <c r="B632"/>
  <c r="C257"/>
  <c r="B257"/>
  <c r="B478"/>
  <c r="C478"/>
  <c r="C632"/>
  <c r="B258"/>
  <c r="B633"/>
  <c r="C258"/>
  <c r="C633"/>
  <c r="C479"/>
  <c r="B479"/>
  <c r="D160" i="4"/>
  <c r="D41"/>
  <c r="C480" i="2"/>
  <c r="C172"/>
  <c r="B172"/>
  <c r="A173"/>
  <c r="B547"/>
  <c r="C547"/>
  <c r="A548"/>
  <c r="M24"/>
  <c r="C585"/>
  <c r="D585" s="1"/>
  <c r="M12"/>
  <c r="C321"/>
  <c r="D321" s="1"/>
  <c r="B212"/>
  <c r="B585"/>
  <c r="F585" s="1"/>
  <c r="C211"/>
  <c r="D211" s="1"/>
  <c r="C212"/>
  <c r="C322"/>
  <c r="C588"/>
  <c r="M7"/>
  <c r="B322"/>
  <c r="B587"/>
  <c r="B588"/>
  <c r="C586"/>
  <c r="B321"/>
  <c r="B589"/>
  <c r="C587"/>
  <c r="B586"/>
  <c r="B211"/>
  <c r="C589"/>
  <c r="C590"/>
  <c r="C213"/>
  <c r="B213"/>
  <c r="B590"/>
  <c r="C323"/>
  <c r="B323"/>
  <c r="C214"/>
  <c r="C324"/>
  <c r="C591"/>
  <c r="B324"/>
  <c r="B591"/>
  <c r="B214"/>
  <c r="P10"/>
  <c r="O10"/>
  <c r="H19" i="6"/>
  <c r="H18"/>
  <c r="C541" i="2"/>
  <c r="D541" s="1"/>
  <c r="B543"/>
  <c r="C543"/>
  <c r="C542"/>
  <c r="B541"/>
  <c r="B542"/>
  <c r="M22"/>
  <c r="B544"/>
  <c r="C544"/>
  <c r="C545"/>
  <c r="B545"/>
  <c r="C53" i="5"/>
  <c r="I52"/>
  <c r="O36" i="2"/>
  <c r="P36"/>
  <c r="B480"/>
  <c r="R38" i="6"/>
  <c r="C194" i="2"/>
  <c r="B194"/>
  <c r="A195"/>
  <c r="C238"/>
  <c r="B238"/>
  <c r="A239"/>
  <c r="F519"/>
  <c r="M21" i="3"/>
  <c r="N17"/>
  <c r="J17" i="6"/>
  <c r="K17"/>
  <c r="C497" i="2"/>
  <c r="D497" s="1"/>
  <c r="C498"/>
  <c r="M20"/>
  <c r="B498"/>
  <c r="B497"/>
  <c r="F497" s="1"/>
  <c r="C499"/>
  <c r="B499"/>
  <c r="C500"/>
  <c r="B500"/>
  <c r="B501"/>
  <c r="C501"/>
  <c r="C437"/>
  <c r="B437"/>
  <c r="A438"/>
  <c r="B350"/>
  <c r="C350"/>
  <c r="A351"/>
  <c r="P5"/>
  <c r="O5"/>
  <c r="C237"/>
  <c r="C415"/>
  <c r="B415"/>
  <c r="A416"/>
  <c r="C454"/>
  <c r="C455"/>
  <c r="B454"/>
  <c r="B455"/>
  <c r="M18"/>
  <c r="B453"/>
  <c r="C453"/>
  <c r="D453" s="1"/>
  <c r="M34"/>
  <c r="C456"/>
  <c r="B456"/>
  <c r="B457"/>
  <c r="C457"/>
  <c r="B503"/>
  <c r="C503"/>
  <c r="A504"/>
  <c r="C525"/>
  <c r="B525"/>
  <c r="A526"/>
  <c r="R42"/>
  <c r="AB42" s="1"/>
  <c r="AF42" s="1"/>
  <c r="AG42" s="1"/>
  <c r="Q42" s="1"/>
  <c r="B371"/>
  <c r="C371"/>
  <c r="A372"/>
  <c r="C94"/>
  <c r="A95"/>
  <c r="B94"/>
  <c r="B349"/>
  <c r="R35"/>
  <c r="AB35" s="1"/>
  <c r="AF35" s="1"/>
  <c r="AG35" s="1"/>
  <c r="Q35" s="1"/>
  <c r="B237"/>
  <c r="C216"/>
  <c r="B216"/>
  <c r="A217"/>
  <c r="B304"/>
  <c r="C304"/>
  <c r="A305"/>
  <c r="O33"/>
  <c r="P33"/>
  <c r="C349"/>
  <c r="C613"/>
  <c r="B613"/>
  <c r="A614"/>
  <c r="R39" i="6"/>
  <c r="M17" l="1"/>
  <c r="N17" s="1"/>
  <c r="S36" i="2"/>
  <c r="F409"/>
  <c r="F189"/>
  <c r="M16" i="6"/>
  <c r="N16" s="1"/>
  <c r="I277" i="2"/>
  <c r="H277"/>
  <c r="C305"/>
  <c r="B305"/>
  <c r="A306"/>
  <c r="O34"/>
  <c r="P34"/>
  <c r="E497"/>
  <c r="G497" s="1"/>
  <c r="B195"/>
  <c r="C195"/>
  <c r="A196"/>
  <c r="P9"/>
  <c r="O9"/>
  <c r="O32"/>
  <c r="P32"/>
  <c r="C312" i="5"/>
  <c r="I311"/>
  <c r="O16" i="6"/>
  <c r="R16" s="1"/>
  <c r="L16"/>
  <c r="B394" i="2"/>
  <c r="C394"/>
  <c r="A395"/>
  <c r="P13"/>
  <c r="O13"/>
  <c r="C372"/>
  <c r="B372"/>
  <c r="A373"/>
  <c r="C504"/>
  <c r="B504"/>
  <c r="A505"/>
  <c r="J18" i="6"/>
  <c r="K18"/>
  <c r="E585" i="2"/>
  <c r="G585"/>
  <c r="E255"/>
  <c r="G255" s="1"/>
  <c r="P19"/>
  <c r="O19"/>
  <c r="P25"/>
  <c r="O25"/>
  <c r="C594"/>
  <c r="B594"/>
  <c r="A595"/>
  <c r="P8"/>
  <c r="O8"/>
  <c r="C614"/>
  <c r="B614"/>
  <c r="A615"/>
  <c r="F453"/>
  <c r="B416"/>
  <c r="C416"/>
  <c r="A417"/>
  <c r="P20"/>
  <c r="O20"/>
  <c r="P22"/>
  <c r="O22"/>
  <c r="J19" i="6"/>
  <c r="K19"/>
  <c r="P16" i="2"/>
  <c r="O16"/>
  <c r="S15"/>
  <c r="E387"/>
  <c r="G387" s="1"/>
  <c r="C636"/>
  <c r="B636"/>
  <c r="A637"/>
  <c r="E563"/>
  <c r="G563" s="1"/>
  <c r="A47" i="3"/>
  <c r="B46"/>
  <c r="C46" s="1"/>
  <c r="D46" s="1"/>
  <c r="P18" i="2"/>
  <c r="Q18" s="1"/>
  <c r="O18"/>
  <c r="E519"/>
  <c r="G519" s="1"/>
  <c r="R36"/>
  <c r="AB36" s="1"/>
  <c r="AF36" s="1"/>
  <c r="AG36" s="1"/>
  <c r="Q36" s="1"/>
  <c r="S10"/>
  <c r="F211"/>
  <c r="C173"/>
  <c r="B173"/>
  <c r="A174"/>
  <c r="E629"/>
  <c r="G629"/>
  <c r="E365"/>
  <c r="G365" s="1"/>
  <c r="E431"/>
  <c r="G431" s="1"/>
  <c r="E189"/>
  <c r="G189"/>
  <c r="C65" i="5"/>
  <c r="I66"/>
  <c r="C48" i="1"/>
  <c r="A49"/>
  <c r="C351" i="2"/>
  <c r="B351"/>
  <c r="A352"/>
  <c r="C52" i="5"/>
  <c r="I51"/>
  <c r="F541" i="2"/>
  <c r="P7"/>
  <c r="O7"/>
  <c r="P12"/>
  <c r="O12"/>
  <c r="P26"/>
  <c r="O26"/>
  <c r="B482"/>
  <c r="C482"/>
  <c r="A483"/>
  <c r="B321" i="5"/>
  <c r="B326"/>
  <c r="B323"/>
  <c r="B320"/>
  <c r="B317"/>
  <c r="B314"/>
  <c r="B325"/>
  <c r="B315"/>
  <c r="B311"/>
  <c r="C319"/>
  <c r="B324"/>
  <c r="B319"/>
  <c r="B313"/>
  <c r="B327"/>
  <c r="B322"/>
  <c r="B312"/>
  <c r="B318"/>
  <c r="B316"/>
  <c r="H61" i="2"/>
  <c r="G61"/>
  <c r="C317" i="5"/>
  <c r="C322"/>
  <c r="C318"/>
  <c r="C321"/>
  <c r="C320"/>
  <c r="C323"/>
  <c r="C316"/>
  <c r="C324"/>
  <c r="C315"/>
  <c r="C325"/>
  <c r="C314"/>
  <c r="P17" i="2"/>
  <c r="O17"/>
  <c r="C327" i="5"/>
  <c r="I328"/>
  <c r="B328" s="1"/>
  <c r="B327" i="2"/>
  <c r="C327"/>
  <c r="A328"/>
  <c r="C64" i="5"/>
  <c r="P11" i="2"/>
  <c r="O11"/>
  <c r="F299"/>
  <c r="C217"/>
  <c r="B217"/>
  <c r="A218"/>
  <c r="C239"/>
  <c r="B239"/>
  <c r="A240"/>
  <c r="B59" i="5"/>
  <c r="B51"/>
  <c r="B64"/>
  <c r="B56"/>
  <c r="B61"/>
  <c r="C58"/>
  <c r="B53"/>
  <c r="B66"/>
  <c r="B58"/>
  <c r="B63"/>
  <c r="B55"/>
  <c r="B65"/>
  <c r="B57"/>
  <c r="B54"/>
  <c r="B52"/>
  <c r="B62"/>
  <c r="B60"/>
  <c r="G7" i="1"/>
  <c r="B47"/>
  <c r="B43"/>
  <c r="B49"/>
  <c r="C42"/>
  <c r="D42" s="1"/>
  <c r="B48"/>
  <c r="B45"/>
  <c r="H7"/>
  <c r="B46"/>
  <c r="B44"/>
  <c r="B42"/>
  <c r="F42" s="1"/>
  <c r="C59" i="5"/>
  <c r="C57"/>
  <c r="C43" i="1"/>
  <c r="C60" i="5"/>
  <c r="C56"/>
  <c r="C44" i="1"/>
  <c r="C61" i="5"/>
  <c r="C62"/>
  <c r="C55"/>
  <c r="C45" i="1"/>
  <c r="C54" i="5"/>
  <c r="C63"/>
  <c r="C46" i="1"/>
  <c r="P6" i="2"/>
  <c r="O6"/>
  <c r="F607"/>
  <c r="C326" i="5"/>
  <c r="F233" i="2"/>
  <c r="R38"/>
  <c r="AB38" s="1"/>
  <c r="AF38" s="1"/>
  <c r="AG38" s="1"/>
  <c r="Q38" s="1"/>
  <c r="O37"/>
  <c r="P37"/>
  <c r="B526"/>
  <c r="C526"/>
  <c r="A527"/>
  <c r="L17" i="6"/>
  <c r="O17"/>
  <c r="R17" s="1"/>
  <c r="P24" i="2"/>
  <c r="O24"/>
  <c r="F475"/>
  <c r="P14"/>
  <c r="O14"/>
  <c r="C261"/>
  <c r="B261"/>
  <c r="A262"/>
  <c r="S21"/>
  <c r="B570"/>
  <c r="C570"/>
  <c r="A571"/>
  <c r="H167"/>
  <c r="I167"/>
  <c r="P23"/>
  <c r="O23"/>
  <c r="S33"/>
  <c r="C95"/>
  <c r="A96"/>
  <c r="B95"/>
  <c r="S5"/>
  <c r="C438"/>
  <c r="B438"/>
  <c r="A439"/>
  <c r="F321"/>
  <c r="C548"/>
  <c r="B548"/>
  <c r="A549"/>
  <c r="E89"/>
  <c r="G89" s="1"/>
  <c r="E409"/>
  <c r="G409"/>
  <c r="C285"/>
  <c r="B285"/>
  <c r="A286"/>
  <c r="C460"/>
  <c r="B460"/>
  <c r="A461"/>
  <c r="F343"/>
  <c r="M18" i="6" l="1"/>
  <c r="N18" s="1"/>
  <c r="I431" i="2"/>
  <c r="H431"/>
  <c r="I497"/>
  <c r="H497"/>
  <c r="H519"/>
  <c r="I519"/>
  <c r="I387"/>
  <c r="H387"/>
  <c r="H255"/>
  <c r="I255"/>
  <c r="I365"/>
  <c r="H365"/>
  <c r="H89"/>
  <c r="I89"/>
  <c r="I563"/>
  <c r="H563"/>
  <c r="C461"/>
  <c r="B461"/>
  <c r="A462"/>
  <c r="S26"/>
  <c r="M19" i="6"/>
  <c r="N19" s="1"/>
  <c r="B505" i="2"/>
  <c r="C505"/>
  <c r="A506"/>
  <c r="S32"/>
  <c r="E233"/>
  <c r="G233" s="1"/>
  <c r="E299"/>
  <c r="G299" s="1"/>
  <c r="C328"/>
  <c r="B328"/>
  <c r="A329"/>
  <c r="S17"/>
  <c r="C66" i="5"/>
  <c r="I67"/>
  <c r="S22" i="2"/>
  <c r="O18" i="6"/>
  <c r="R18" s="1"/>
  <c r="L18"/>
  <c r="C286" i="2"/>
  <c r="B286"/>
  <c r="A287"/>
  <c r="B549"/>
  <c r="C549"/>
  <c r="A550"/>
  <c r="C439"/>
  <c r="B439"/>
  <c r="A440"/>
  <c r="C96"/>
  <c r="A97"/>
  <c r="B96"/>
  <c r="S24"/>
  <c r="S11"/>
  <c r="E541"/>
  <c r="G541" s="1"/>
  <c r="C637"/>
  <c r="B637"/>
  <c r="A638"/>
  <c r="E453"/>
  <c r="G453" s="1"/>
  <c r="S34"/>
  <c r="J167"/>
  <c r="L167"/>
  <c r="K167" s="1"/>
  <c r="D168"/>
  <c r="C51" i="5"/>
  <c r="I50"/>
  <c r="A48" i="3"/>
  <c r="B47"/>
  <c r="C47" s="1"/>
  <c r="D47" s="1"/>
  <c r="S8" i="2"/>
  <c r="S25"/>
  <c r="C196"/>
  <c r="B196"/>
  <c r="A197"/>
  <c r="B306"/>
  <c r="C306"/>
  <c r="A307"/>
  <c r="R33"/>
  <c r="AB33" s="1"/>
  <c r="AF33" s="1"/>
  <c r="AG33" s="1"/>
  <c r="Q33" s="1"/>
  <c r="C262"/>
  <c r="B262"/>
  <c r="A263"/>
  <c r="E607"/>
  <c r="G607" s="1"/>
  <c r="E42" i="1"/>
  <c r="G42" s="1"/>
  <c r="O17"/>
  <c r="B218" i="2"/>
  <c r="C218"/>
  <c r="A219"/>
  <c r="S12"/>
  <c r="H189"/>
  <c r="I189"/>
  <c r="I629"/>
  <c r="H629"/>
  <c r="E211"/>
  <c r="G211" s="1"/>
  <c r="S16"/>
  <c r="S20"/>
  <c r="B373"/>
  <c r="C373"/>
  <c r="A374"/>
  <c r="C311" i="5"/>
  <c r="I310"/>
  <c r="I409" i="2"/>
  <c r="H409"/>
  <c r="E343"/>
  <c r="G343" s="1"/>
  <c r="E321"/>
  <c r="G321" s="1"/>
  <c r="S6"/>
  <c r="C328" i="5"/>
  <c r="I329"/>
  <c r="C483" i="2"/>
  <c r="B483"/>
  <c r="A484"/>
  <c r="C615"/>
  <c r="B615"/>
  <c r="A616"/>
  <c r="I585"/>
  <c r="H585"/>
  <c r="S9"/>
  <c r="S23"/>
  <c r="C571"/>
  <c r="B571"/>
  <c r="A572"/>
  <c r="S37"/>
  <c r="C240"/>
  <c r="B240"/>
  <c r="A241"/>
  <c r="S7"/>
  <c r="B595"/>
  <c r="C595"/>
  <c r="A596"/>
  <c r="S19"/>
  <c r="S14"/>
  <c r="E475"/>
  <c r="G475"/>
  <c r="C527"/>
  <c r="B527"/>
  <c r="A528"/>
  <c r="O70"/>
  <c r="B352"/>
  <c r="C352"/>
  <c r="A353"/>
  <c r="C49" i="1"/>
  <c r="A50"/>
  <c r="C174" i="2"/>
  <c r="B174"/>
  <c r="A175"/>
  <c r="Q5"/>
  <c r="S18"/>
  <c r="R18"/>
  <c r="AC18" s="1"/>
  <c r="C417"/>
  <c r="B417"/>
  <c r="A418"/>
  <c r="S13"/>
  <c r="C395"/>
  <c r="B395"/>
  <c r="A396"/>
  <c r="L277"/>
  <c r="K277" s="1"/>
  <c r="J277"/>
  <c r="D278"/>
  <c r="I453" l="1"/>
  <c r="H453"/>
  <c r="I42" i="1"/>
  <c r="H42"/>
  <c r="I607" i="2"/>
  <c r="H607"/>
  <c r="I541"/>
  <c r="H541"/>
  <c r="H299"/>
  <c r="I299"/>
  <c r="I321"/>
  <c r="H321"/>
  <c r="H233"/>
  <c r="I233"/>
  <c r="H211"/>
  <c r="I211"/>
  <c r="I343"/>
  <c r="H343"/>
  <c r="R5"/>
  <c r="AB5" s="1"/>
  <c r="AF5" s="1"/>
  <c r="C418"/>
  <c r="B418"/>
  <c r="A419"/>
  <c r="R37"/>
  <c r="AB37" s="1"/>
  <c r="AF37" s="1"/>
  <c r="AG37" s="1"/>
  <c r="Q37" s="1"/>
  <c r="L189"/>
  <c r="K189" s="1"/>
  <c r="J189"/>
  <c r="D190"/>
  <c r="C307"/>
  <c r="B307"/>
  <c r="A308"/>
  <c r="C50" i="5"/>
  <c r="I49"/>
  <c r="B50"/>
  <c r="F168" i="2"/>
  <c r="C50" i="1"/>
  <c r="A51"/>
  <c r="B50"/>
  <c r="AB18" i="2"/>
  <c r="AF18" s="1"/>
  <c r="B241"/>
  <c r="C241"/>
  <c r="A242"/>
  <c r="B572"/>
  <c r="C572"/>
  <c r="A573"/>
  <c r="C310" i="5"/>
  <c r="I309"/>
  <c r="B310"/>
  <c r="C638" i="2"/>
  <c r="B638"/>
  <c r="A639"/>
  <c r="C550"/>
  <c r="B550"/>
  <c r="A551"/>
  <c r="C67" i="5"/>
  <c r="I68"/>
  <c r="B67"/>
  <c r="L19" i="6"/>
  <c r="O19"/>
  <c r="R19" s="1"/>
  <c r="J563" i="2"/>
  <c r="L563"/>
  <c r="K563" s="1"/>
  <c r="D564"/>
  <c r="L387"/>
  <c r="K387" s="1"/>
  <c r="J387"/>
  <c r="D388"/>
  <c r="C353"/>
  <c r="B353"/>
  <c r="A354"/>
  <c r="B528"/>
  <c r="C528"/>
  <c r="A529"/>
  <c r="C484"/>
  <c r="B484"/>
  <c r="A485"/>
  <c r="C263"/>
  <c r="B263"/>
  <c r="A264"/>
  <c r="B329"/>
  <c r="C329"/>
  <c r="A330"/>
  <c r="L89"/>
  <c r="K89" s="1"/>
  <c r="J89"/>
  <c r="D90"/>
  <c r="J519"/>
  <c r="L519"/>
  <c r="K519" s="1"/>
  <c r="D520"/>
  <c r="C374"/>
  <c r="B374"/>
  <c r="A375"/>
  <c r="B175"/>
  <c r="C175"/>
  <c r="A176"/>
  <c r="B197"/>
  <c r="C197"/>
  <c r="A198"/>
  <c r="C97"/>
  <c r="A98"/>
  <c r="B97"/>
  <c r="B287"/>
  <c r="C287"/>
  <c r="A288"/>
  <c r="F278"/>
  <c r="I475"/>
  <c r="H475"/>
  <c r="C596"/>
  <c r="B596"/>
  <c r="A597"/>
  <c r="R32"/>
  <c r="AB32" s="1"/>
  <c r="AF32" s="1"/>
  <c r="AG32" s="1"/>
  <c r="Q32" s="1"/>
  <c r="C462"/>
  <c r="B462"/>
  <c r="A463"/>
  <c r="L365"/>
  <c r="K365" s="1"/>
  <c r="J365"/>
  <c r="D366"/>
  <c r="L497"/>
  <c r="K497" s="1"/>
  <c r="J497"/>
  <c r="D498"/>
  <c r="T18"/>
  <c r="AE18"/>
  <c r="AG18" s="1"/>
  <c r="AH18"/>
  <c r="B396"/>
  <c r="C396"/>
  <c r="A397"/>
  <c r="J585"/>
  <c r="L585"/>
  <c r="K585" s="1"/>
  <c r="D586"/>
  <c r="R34"/>
  <c r="AB34" s="1"/>
  <c r="AF34" s="1"/>
  <c r="AG34" s="1"/>
  <c r="Q34" s="1"/>
  <c r="C440"/>
  <c r="B440"/>
  <c r="A441"/>
  <c r="C506"/>
  <c r="B506"/>
  <c r="A507"/>
  <c r="J255"/>
  <c r="L255"/>
  <c r="K255" s="1"/>
  <c r="D256"/>
  <c r="B616"/>
  <c r="C616"/>
  <c r="A617"/>
  <c r="C329" i="5"/>
  <c r="I330"/>
  <c r="B329"/>
  <c r="L409" i="2"/>
  <c r="K409" s="1"/>
  <c r="J409"/>
  <c r="D410"/>
  <c r="J629"/>
  <c r="L629"/>
  <c r="K629" s="1"/>
  <c r="D630"/>
  <c r="C219"/>
  <c r="B219"/>
  <c r="A220"/>
  <c r="A49" i="3"/>
  <c r="B48"/>
  <c r="C48" s="1"/>
  <c r="L431" i="2"/>
  <c r="K431" s="1"/>
  <c r="J431"/>
  <c r="D432"/>
  <c r="F432" l="1"/>
  <c r="Q17"/>
  <c r="C441"/>
  <c r="B441"/>
  <c r="A442"/>
  <c r="C330"/>
  <c r="B330"/>
  <c r="A331"/>
  <c r="L211"/>
  <c r="K211" s="1"/>
  <c r="J211"/>
  <c r="D212"/>
  <c r="C397"/>
  <c r="B397"/>
  <c r="A398"/>
  <c r="C485"/>
  <c r="B485"/>
  <c r="A486"/>
  <c r="F564"/>
  <c r="B551"/>
  <c r="C551"/>
  <c r="A552"/>
  <c r="E168"/>
  <c r="G168" s="1"/>
  <c r="B419"/>
  <c r="C419"/>
  <c r="A420"/>
  <c r="L541"/>
  <c r="K541" s="1"/>
  <c r="J541"/>
  <c r="D542"/>
  <c r="F366"/>
  <c r="F520"/>
  <c r="C354"/>
  <c r="B354"/>
  <c r="A355"/>
  <c r="C309" i="5"/>
  <c r="I308"/>
  <c r="B309"/>
  <c r="F190" i="2"/>
  <c r="L233"/>
  <c r="K233" s="1"/>
  <c r="J233"/>
  <c r="D234"/>
  <c r="F256"/>
  <c r="C330" i="5"/>
  <c r="I331"/>
  <c r="B330"/>
  <c r="L475" i="2"/>
  <c r="K475" s="1"/>
  <c r="J475"/>
  <c r="D476"/>
  <c r="C176"/>
  <c r="B176"/>
  <c r="A177"/>
  <c r="L607"/>
  <c r="K607" s="1"/>
  <c r="J607"/>
  <c r="D608"/>
  <c r="F630"/>
  <c r="Q26"/>
  <c r="C98"/>
  <c r="A99"/>
  <c r="B98"/>
  <c r="C617"/>
  <c r="B617"/>
  <c r="A618"/>
  <c r="B375"/>
  <c r="C375"/>
  <c r="A376"/>
  <c r="C573"/>
  <c r="B573"/>
  <c r="A574"/>
  <c r="C49" i="5"/>
  <c r="I48"/>
  <c r="B49"/>
  <c r="AC5" i="2"/>
  <c r="N15" i="3"/>
  <c r="P15" s="1"/>
  <c r="N13"/>
  <c r="P13" s="1"/>
  <c r="D48"/>
  <c r="N14"/>
  <c r="P14" s="1"/>
  <c r="P18" s="1"/>
  <c r="F410" i="2"/>
  <c r="C507"/>
  <c r="B507"/>
  <c r="A508"/>
  <c r="F586"/>
  <c r="C463"/>
  <c r="B463"/>
  <c r="A464"/>
  <c r="E278"/>
  <c r="G278" s="1"/>
  <c r="C198"/>
  <c r="B198"/>
  <c r="A199"/>
  <c r="F90"/>
  <c r="B264"/>
  <c r="C264"/>
  <c r="A265"/>
  <c r="B639"/>
  <c r="C639"/>
  <c r="A640"/>
  <c r="L321"/>
  <c r="K321" s="1"/>
  <c r="J321"/>
  <c r="D322"/>
  <c r="L42" i="1"/>
  <c r="K42" s="1"/>
  <c r="J42"/>
  <c r="D43"/>
  <c r="W18" i="2"/>
  <c r="V18" s="1"/>
  <c r="U18"/>
  <c r="F388"/>
  <c r="C51" i="1"/>
  <c r="A52"/>
  <c r="B51"/>
  <c r="L299" i="2"/>
  <c r="K299" s="1"/>
  <c r="J299"/>
  <c r="D300"/>
  <c r="B49" i="3"/>
  <c r="C49" s="1"/>
  <c r="D49" s="1"/>
  <c r="A50"/>
  <c r="B220" i="2"/>
  <c r="C220"/>
  <c r="A221"/>
  <c r="F498"/>
  <c r="B597"/>
  <c r="C597"/>
  <c r="A598"/>
  <c r="C288"/>
  <c r="B288"/>
  <c r="A289"/>
  <c r="C529"/>
  <c r="B529"/>
  <c r="A530"/>
  <c r="C68" i="5"/>
  <c r="I69"/>
  <c r="B68"/>
  <c r="C242" i="2"/>
  <c r="B242"/>
  <c r="A243"/>
  <c r="C308"/>
  <c r="B308"/>
  <c r="A309"/>
  <c r="L343"/>
  <c r="K343" s="1"/>
  <c r="J343"/>
  <c r="D344"/>
  <c r="L453"/>
  <c r="K453" s="1"/>
  <c r="J453"/>
  <c r="D454"/>
  <c r="I168" l="1"/>
  <c r="H168"/>
  <c r="I278"/>
  <c r="H278"/>
  <c r="AE5"/>
  <c r="T5"/>
  <c r="AH5"/>
  <c r="B243"/>
  <c r="C243"/>
  <c r="A244"/>
  <c r="F300"/>
  <c r="R26"/>
  <c r="AB26" s="1"/>
  <c r="AF26" s="1"/>
  <c r="C331" i="5"/>
  <c r="I332"/>
  <c r="B331"/>
  <c r="E190" i="2"/>
  <c r="G190" s="1"/>
  <c r="Q22"/>
  <c r="F542"/>
  <c r="B486"/>
  <c r="C486"/>
  <c r="A487"/>
  <c r="F212"/>
  <c r="B442"/>
  <c r="C442"/>
  <c r="A443"/>
  <c r="B289"/>
  <c r="C289"/>
  <c r="A290"/>
  <c r="F454"/>
  <c r="E498"/>
  <c r="G498"/>
  <c r="F43" i="1"/>
  <c r="E90" i="2"/>
  <c r="G90" s="1"/>
  <c r="E388"/>
  <c r="G388"/>
  <c r="C464"/>
  <c r="B464"/>
  <c r="A465"/>
  <c r="E410"/>
  <c r="G410" s="1"/>
  <c r="C48" i="5"/>
  <c r="I47"/>
  <c r="B48"/>
  <c r="B618" i="2"/>
  <c r="C618"/>
  <c r="A619"/>
  <c r="E630"/>
  <c r="G630" s="1"/>
  <c r="C177"/>
  <c r="B177"/>
  <c r="A178"/>
  <c r="C221"/>
  <c r="B221"/>
  <c r="A222"/>
  <c r="C640"/>
  <c r="B640"/>
  <c r="A641"/>
  <c r="E256"/>
  <c r="G256" s="1"/>
  <c r="C552"/>
  <c r="B552"/>
  <c r="A553"/>
  <c r="F322"/>
  <c r="Q18" i="3"/>
  <c r="P21"/>
  <c r="B574" i="2"/>
  <c r="C574"/>
  <c r="A575"/>
  <c r="C308" i="5"/>
  <c r="I307"/>
  <c r="B308"/>
  <c r="E520" i="2"/>
  <c r="G520" s="1"/>
  <c r="C420"/>
  <c r="B420"/>
  <c r="A421"/>
  <c r="C69" i="5"/>
  <c r="I70"/>
  <c r="B69"/>
  <c r="B199" i="2"/>
  <c r="C199"/>
  <c r="A200"/>
  <c r="E586"/>
  <c r="G586" s="1"/>
  <c r="F608"/>
  <c r="Q19"/>
  <c r="F476"/>
  <c r="F234"/>
  <c r="B398"/>
  <c r="C398"/>
  <c r="A399"/>
  <c r="C331"/>
  <c r="B331"/>
  <c r="A332"/>
  <c r="R17"/>
  <c r="AB17" s="1"/>
  <c r="AF17" s="1"/>
  <c r="AC17"/>
  <c r="C52" i="1"/>
  <c r="A53"/>
  <c r="B52"/>
  <c r="C309" i="2"/>
  <c r="B309"/>
  <c r="A310"/>
  <c r="C598"/>
  <c r="B598"/>
  <c r="A599"/>
  <c r="C265"/>
  <c r="B265"/>
  <c r="A266"/>
  <c r="C99"/>
  <c r="A100"/>
  <c r="B99"/>
  <c r="E564"/>
  <c r="G564" s="1"/>
  <c r="E432"/>
  <c r="G432"/>
  <c r="F344"/>
  <c r="C530"/>
  <c r="B530"/>
  <c r="A531"/>
  <c r="B50" i="3"/>
  <c r="C50" s="1"/>
  <c r="D50" s="1"/>
  <c r="A51"/>
  <c r="C508" i="2"/>
  <c r="B508"/>
  <c r="A509"/>
  <c r="C376"/>
  <c r="B376"/>
  <c r="A377"/>
  <c r="C355"/>
  <c r="B355"/>
  <c r="A356"/>
  <c r="E366"/>
  <c r="G366"/>
  <c r="I190" l="1"/>
  <c r="H190"/>
  <c r="H630"/>
  <c r="I630"/>
  <c r="I520"/>
  <c r="H520"/>
  <c r="H410"/>
  <c r="I410"/>
  <c r="H586"/>
  <c r="I586"/>
  <c r="H564"/>
  <c r="I564"/>
  <c r="I256"/>
  <c r="H256"/>
  <c r="C377"/>
  <c r="B377"/>
  <c r="A378"/>
  <c r="C531"/>
  <c r="B531"/>
  <c r="A532"/>
  <c r="E476"/>
  <c r="G476" s="1"/>
  <c r="I90"/>
  <c r="H90"/>
  <c r="C332" i="5"/>
  <c r="I333"/>
  <c r="B332"/>
  <c r="C244" i="2"/>
  <c r="B244"/>
  <c r="A245"/>
  <c r="B266"/>
  <c r="C266"/>
  <c r="A267"/>
  <c r="R19"/>
  <c r="AB19" s="1"/>
  <c r="AF19" s="1"/>
  <c r="C200"/>
  <c r="B200"/>
  <c r="A201"/>
  <c r="B421"/>
  <c r="C421"/>
  <c r="A422"/>
  <c r="C575"/>
  <c r="B575"/>
  <c r="A576"/>
  <c r="C619"/>
  <c r="B619"/>
  <c r="A620"/>
  <c r="B465"/>
  <c r="C465"/>
  <c r="A466"/>
  <c r="E43" i="1"/>
  <c r="G43" s="1"/>
  <c r="C399" i="2"/>
  <c r="B399"/>
  <c r="A400"/>
  <c r="C443"/>
  <c r="B443"/>
  <c r="A444"/>
  <c r="E542"/>
  <c r="G542" s="1"/>
  <c r="C553"/>
  <c r="B553"/>
  <c r="A554"/>
  <c r="H498"/>
  <c r="I498"/>
  <c r="R22"/>
  <c r="AB22" s="1"/>
  <c r="AF22" s="1"/>
  <c r="AC26"/>
  <c r="E344"/>
  <c r="G344" s="1"/>
  <c r="C599"/>
  <c r="B599"/>
  <c r="B641"/>
  <c r="C641"/>
  <c r="A642"/>
  <c r="C178"/>
  <c r="B178"/>
  <c r="A179"/>
  <c r="H388"/>
  <c r="I388"/>
  <c r="T17"/>
  <c r="AE17"/>
  <c r="AG17" s="1"/>
  <c r="AH17"/>
  <c r="C47" i="5"/>
  <c r="I46"/>
  <c r="B47"/>
  <c r="E454" i="2"/>
  <c r="G454"/>
  <c r="E212"/>
  <c r="G212" s="1"/>
  <c r="L278"/>
  <c r="K278" s="1"/>
  <c r="J278"/>
  <c r="D279"/>
  <c r="B509"/>
  <c r="C509"/>
  <c r="A510"/>
  <c r="C53" i="1"/>
  <c r="A54"/>
  <c r="B53"/>
  <c r="E608" i="2"/>
  <c r="G608" s="1"/>
  <c r="A52" i="3"/>
  <c r="B51"/>
  <c r="C51" s="1"/>
  <c r="D51" s="1"/>
  <c r="C100" i="2"/>
  <c r="A101"/>
  <c r="B100"/>
  <c r="E234"/>
  <c r="G234"/>
  <c r="E322"/>
  <c r="G322" s="1"/>
  <c r="E300"/>
  <c r="G300" s="1"/>
  <c r="U5"/>
  <c r="W5"/>
  <c r="V5" s="1"/>
  <c r="H366"/>
  <c r="I366"/>
  <c r="B356"/>
  <c r="C356"/>
  <c r="A357"/>
  <c r="H432"/>
  <c r="I432"/>
  <c r="B310"/>
  <c r="C310"/>
  <c r="A311"/>
  <c r="C332"/>
  <c r="B332"/>
  <c r="A333"/>
  <c r="C70" i="5"/>
  <c r="I71"/>
  <c r="B70"/>
  <c r="C307"/>
  <c r="I306"/>
  <c r="B307"/>
  <c r="B222" i="2"/>
  <c r="C222"/>
  <c r="A223"/>
  <c r="C290"/>
  <c r="B290"/>
  <c r="A291"/>
  <c r="C487"/>
  <c r="B487"/>
  <c r="A488"/>
  <c r="AG5"/>
  <c r="L168"/>
  <c r="K168" s="1"/>
  <c r="J168"/>
  <c r="D169"/>
  <c r="AC22" l="1"/>
  <c r="I300"/>
  <c r="H300"/>
  <c r="H608"/>
  <c r="I608"/>
  <c r="H322"/>
  <c r="I322"/>
  <c r="H476"/>
  <c r="I476"/>
  <c r="I212"/>
  <c r="H212"/>
  <c r="H344"/>
  <c r="I344"/>
  <c r="H542"/>
  <c r="I542"/>
  <c r="C576"/>
  <c r="B576"/>
  <c r="A577"/>
  <c r="L410"/>
  <c r="K410" s="1"/>
  <c r="J410"/>
  <c r="D411"/>
  <c r="C71" i="5"/>
  <c r="I72"/>
  <c r="B71"/>
  <c r="L432" i="2"/>
  <c r="K432" s="1"/>
  <c r="J432"/>
  <c r="D433"/>
  <c r="I234"/>
  <c r="H234"/>
  <c r="Q10"/>
  <c r="F279"/>
  <c r="H454"/>
  <c r="I454"/>
  <c r="C179"/>
  <c r="B179"/>
  <c r="A180"/>
  <c r="AH22"/>
  <c r="AE22"/>
  <c r="AG22" s="1"/>
  <c r="T22"/>
  <c r="H43" i="1"/>
  <c r="I43"/>
  <c r="W17" i="2"/>
  <c r="V17" s="1"/>
  <c r="U17"/>
  <c r="L498"/>
  <c r="K498" s="1"/>
  <c r="J498"/>
  <c r="D499"/>
  <c r="C400"/>
  <c r="B400"/>
  <c r="A401"/>
  <c r="C466"/>
  <c r="B466"/>
  <c r="A467"/>
  <c r="AC19"/>
  <c r="F169"/>
  <c r="C223"/>
  <c r="B223"/>
  <c r="A224"/>
  <c r="B333"/>
  <c r="C333"/>
  <c r="A334"/>
  <c r="C54" i="1"/>
  <c r="A55"/>
  <c r="B54"/>
  <c r="B422" i="2"/>
  <c r="C422"/>
  <c r="A423"/>
  <c r="C267"/>
  <c r="B267"/>
  <c r="A268"/>
  <c r="C333" i="5"/>
  <c r="I334"/>
  <c r="B333"/>
  <c r="J256" i="2"/>
  <c r="L256"/>
  <c r="K256" s="1"/>
  <c r="D257"/>
  <c r="J520"/>
  <c r="L520"/>
  <c r="K520" s="1"/>
  <c r="D521"/>
  <c r="C357"/>
  <c r="B357"/>
  <c r="C101"/>
  <c r="A102"/>
  <c r="B101"/>
  <c r="C46" i="5"/>
  <c r="I45"/>
  <c r="B46"/>
  <c r="C642" i="2"/>
  <c r="B642"/>
  <c r="A643"/>
  <c r="B532"/>
  <c r="C532"/>
  <c r="A533"/>
  <c r="J564"/>
  <c r="L564"/>
  <c r="K564" s="1"/>
  <c r="D565"/>
  <c r="L630"/>
  <c r="K630" s="1"/>
  <c r="J630"/>
  <c r="D631"/>
  <c r="C510"/>
  <c r="B510"/>
  <c r="A511"/>
  <c r="C554"/>
  <c r="B554"/>
  <c r="A555"/>
  <c r="B444"/>
  <c r="C444"/>
  <c r="A445"/>
  <c r="B620"/>
  <c r="C620"/>
  <c r="A621"/>
  <c r="B488"/>
  <c r="C488"/>
  <c r="A489"/>
  <c r="C306" i="5"/>
  <c r="I305"/>
  <c r="B306"/>
  <c r="C311" i="2"/>
  <c r="B311"/>
  <c r="A312"/>
  <c r="J388"/>
  <c r="L388"/>
  <c r="K388" s="1"/>
  <c r="D389"/>
  <c r="C201"/>
  <c r="B201"/>
  <c r="A202"/>
  <c r="L90"/>
  <c r="K90" s="1"/>
  <c r="J90"/>
  <c r="D91"/>
  <c r="J586"/>
  <c r="L586"/>
  <c r="K586" s="1"/>
  <c r="D587"/>
  <c r="B291"/>
  <c r="C291"/>
  <c r="J366"/>
  <c r="L366"/>
  <c r="K366" s="1"/>
  <c r="D367"/>
  <c r="B52" i="3"/>
  <c r="C52" s="1"/>
  <c r="D52" s="1"/>
  <c r="A53"/>
  <c r="B53" s="1"/>
  <c r="C53" s="1"/>
  <c r="T26" i="2"/>
  <c r="AH26"/>
  <c r="AE26"/>
  <c r="AG26" s="1"/>
  <c r="B245"/>
  <c r="C245"/>
  <c r="A246"/>
  <c r="C378"/>
  <c r="B378"/>
  <c r="A379"/>
  <c r="L190"/>
  <c r="K190" s="1"/>
  <c r="J190"/>
  <c r="D191"/>
  <c r="U26" l="1"/>
  <c r="W26"/>
  <c r="V26" s="1"/>
  <c r="C246"/>
  <c r="B246"/>
  <c r="A247"/>
  <c r="D53" i="3"/>
  <c r="B445" i="2"/>
  <c r="C445"/>
  <c r="C533"/>
  <c r="B533"/>
  <c r="C45" i="5"/>
  <c r="I44"/>
  <c r="B45"/>
  <c r="F521" i="2"/>
  <c r="Q21"/>
  <c r="C224"/>
  <c r="B224"/>
  <c r="A225"/>
  <c r="B467"/>
  <c r="C467"/>
  <c r="L234"/>
  <c r="K234" s="1"/>
  <c r="J234"/>
  <c r="D235"/>
  <c r="J476"/>
  <c r="L476"/>
  <c r="K476" s="1"/>
  <c r="D477"/>
  <c r="B268"/>
  <c r="C268"/>
  <c r="A269"/>
  <c r="L43" i="1"/>
  <c r="K43" s="1"/>
  <c r="J43"/>
  <c r="D44"/>
  <c r="F433" i="2"/>
  <c r="Q24"/>
  <c r="F587"/>
  <c r="B312"/>
  <c r="C312"/>
  <c r="A313"/>
  <c r="Q14"/>
  <c r="F367"/>
  <c r="F631"/>
  <c r="C55" i="1"/>
  <c r="A56"/>
  <c r="B55"/>
  <c r="L454" i="2"/>
  <c r="K454" s="1"/>
  <c r="J454"/>
  <c r="D455"/>
  <c r="L542"/>
  <c r="K542" s="1"/>
  <c r="J542"/>
  <c r="D543"/>
  <c r="L322"/>
  <c r="K322" s="1"/>
  <c r="J322"/>
  <c r="D323"/>
  <c r="F191"/>
  <c r="Q6"/>
  <c r="B555"/>
  <c r="C555"/>
  <c r="C102"/>
  <c r="A103"/>
  <c r="B102"/>
  <c r="F257"/>
  <c r="Q9"/>
  <c r="E169"/>
  <c r="G169" s="1"/>
  <c r="C401"/>
  <c r="B401"/>
  <c r="W22"/>
  <c r="V22" s="1"/>
  <c r="U22"/>
  <c r="F91"/>
  <c r="I61"/>
  <c r="B643"/>
  <c r="C643"/>
  <c r="C423"/>
  <c r="B423"/>
  <c r="E279"/>
  <c r="G279"/>
  <c r="C577"/>
  <c r="B577"/>
  <c r="L344"/>
  <c r="K344" s="1"/>
  <c r="J344"/>
  <c r="D345"/>
  <c r="L608"/>
  <c r="K608" s="1"/>
  <c r="J608"/>
  <c r="D609"/>
  <c r="C305" i="5"/>
  <c r="I304"/>
  <c r="B305"/>
  <c r="C621" i="2"/>
  <c r="B621"/>
  <c r="Q23"/>
  <c r="F565"/>
  <c r="C334"/>
  <c r="B334"/>
  <c r="A335"/>
  <c r="R10"/>
  <c r="AB10" s="1"/>
  <c r="AF10" s="1"/>
  <c r="C72" i="5"/>
  <c r="I73"/>
  <c r="B72"/>
  <c r="B379" i="2"/>
  <c r="C379"/>
  <c r="F389"/>
  <c r="Q15"/>
  <c r="B511"/>
  <c r="C511"/>
  <c r="Q20"/>
  <c r="F499"/>
  <c r="C202"/>
  <c r="B202"/>
  <c r="A203"/>
  <c r="C489"/>
  <c r="B489"/>
  <c r="C334" i="5"/>
  <c r="I335"/>
  <c r="B334"/>
  <c r="T19" i="2"/>
  <c r="AH19"/>
  <c r="AE19"/>
  <c r="AG19" s="1"/>
  <c r="C180"/>
  <c r="B180"/>
  <c r="A181"/>
  <c r="Q16"/>
  <c r="F411"/>
  <c r="L212"/>
  <c r="K212" s="1"/>
  <c r="J212"/>
  <c r="D213"/>
  <c r="J300"/>
  <c r="L300"/>
  <c r="K300" s="1"/>
  <c r="D301"/>
  <c r="H169" l="1"/>
  <c r="I169"/>
  <c r="C181"/>
  <c r="B181"/>
  <c r="E411"/>
  <c r="G411" s="1"/>
  <c r="W19"/>
  <c r="V19" s="1"/>
  <c r="U19"/>
  <c r="F301"/>
  <c r="Q11"/>
  <c r="B203"/>
  <c r="C203"/>
  <c r="E257"/>
  <c r="G257" s="1"/>
  <c r="C313"/>
  <c r="B313"/>
  <c r="I7" i="1"/>
  <c r="F44"/>
  <c r="C304" i="5"/>
  <c r="I303"/>
  <c r="B304"/>
  <c r="R6" i="2"/>
  <c r="AB6" s="1"/>
  <c r="AF6" s="1"/>
  <c r="C73" i="5"/>
  <c r="I74"/>
  <c r="B73"/>
  <c r="E191" i="2"/>
  <c r="G191" s="1"/>
  <c r="F455"/>
  <c r="E631"/>
  <c r="G631"/>
  <c r="F477"/>
  <c r="C44" i="5"/>
  <c r="I43"/>
  <c r="B44"/>
  <c r="C247" i="2"/>
  <c r="B247"/>
  <c r="F213"/>
  <c r="Q7"/>
  <c r="R15"/>
  <c r="AB15" s="1"/>
  <c r="AF15" s="1"/>
  <c r="E565"/>
  <c r="G565" s="1"/>
  <c r="Q25"/>
  <c r="F609"/>
  <c r="C103"/>
  <c r="B103"/>
  <c r="E587"/>
  <c r="G587" s="1"/>
  <c r="C225"/>
  <c r="B225"/>
  <c r="E499"/>
  <c r="G499" s="1"/>
  <c r="R23"/>
  <c r="AB23" s="1"/>
  <c r="AF23" s="1"/>
  <c r="H279"/>
  <c r="I279"/>
  <c r="F323"/>
  <c r="Q12"/>
  <c r="R24"/>
  <c r="AB24" s="1"/>
  <c r="AF24" s="1"/>
  <c r="AC24"/>
  <c r="E389"/>
  <c r="G389" s="1"/>
  <c r="R20"/>
  <c r="AB20" s="1"/>
  <c r="AF20" s="1"/>
  <c r="AC10"/>
  <c r="P70"/>
  <c r="K61"/>
  <c r="E367"/>
  <c r="G367" s="1"/>
  <c r="F235"/>
  <c r="Q8"/>
  <c r="C335" i="5"/>
  <c r="I336"/>
  <c r="B335"/>
  <c r="B335" i="2"/>
  <c r="C335"/>
  <c r="Q13"/>
  <c r="F345"/>
  <c r="E91"/>
  <c r="G91" s="1"/>
  <c r="C56" i="1"/>
  <c r="B56"/>
  <c r="R14" i="2"/>
  <c r="AB14" s="1"/>
  <c r="AF14" s="1"/>
  <c r="AC14"/>
  <c r="E433"/>
  <c r="G433"/>
  <c r="C269"/>
  <c r="B269"/>
  <c r="R21"/>
  <c r="AB21" s="1"/>
  <c r="AF21" s="1"/>
  <c r="R16"/>
  <c r="AB16" s="1"/>
  <c r="AF16" s="1"/>
  <c r="R9"/>
  <c r="AB9" s="1"/>
  <c r="AF9" s="1"/>
  <c r="F543"/>
  <c r="E521"/>
  <c r="G521"/>
  <c r="AC9" l="1"/>
  <c r="AC21"/>
  <c r="AC20"/>
  <c r="AC6"/>
  <c r="I565"/>
  <c r="H565"/>
  <c r="I411"/>
  <c r="H411"/>
  <c r="H91"/>
  <c r="I91"/>
  <c r="I257"/>
  <c r="H257"/>
  <c r="I389"/>
  <c r="H389"/>
  <c r="I587"/>
  <c r="H587"/>
  <c r="I499"/>
  <c r="H499"/>
  <c r="I367"/>
  <c r="H367"/>
  <c r="H191"/>
  <c r="I191"/>
  <c r="I521"/>
  <c r="H521"/>
  <c r="T20"/>
  <c r="AE20"/>
  <c r="AG20" s="1"/>
  <c r="AH20"/>
  <c r="E323"/>
  <c r="G323" s="1"/>
  <c r="E609"/>
  <c r="G609" s="1"/>
  <c r="E213"/>
  <c r="G213" s="1"/>
  <c r="T9"/>
  <c r="AH9"/>
  <c r="AE9"/>
  <c r="AG9" s="1"/>
  <c r="R25"/>
  <c r="AB25" s="1"/>
  <c r="AF25" s="1"/>
  <c r="E477"/>
  <c r="G477" s="1"/>
  <c r="E44" i="1"/>
  <c r="G44" s="1"/>
  <c r="I433" i="2"/>
  <c r="H433"/>
  <c r="J279"/>
  <c r="L279"/>
  <c r="K279" s="1"/>
  <c r="D280"/>
  <c r="AH6"/>
  <c r="AE6"/>
  <c r="T6"/>
  <c r="P17" i="1"/>
  <c r="K7"/>
  <c r="E345" i="2"/>
  <c r="G345" s="1"/>
  <c r="C336" i="5"/>
  <c r="I337"/>
  <c r="B336"/>
  <c r="J61" i="2"/>
  <c r="Q70" s="1"/>
  <c r="Q69" s="1"/>
  <c r="R13"/>
  <c r="AB13" s="1"/>
  <c r="AF13" s="1"/>
  <c r="I631"/>
  <c r="H631"/>
  <c r="R11"/>
  <c r="AB11" s="1"/>
  <c r="AF11" s="1"/>
  <c r="AH14"/>
  <c r="AE14"/>
  <c r="AG14" s="1"/>
  <c r="T14"/>
  <c r="P69"/>
  <c r="O69"/>
  <c r="T10"/>
  <c r="AE10"/>
  <c r="AG10" s="1"/>
  <c r="AH10"/>
  <c r="AH24"/>
  <c r="AE24"/>
  <c r="AG24" s="1"/>
  <c r="T24"/>
  <c r="AC23"/>
  <c r="C74" i="5"/>
  <c r="I75"/>
  <c r="B74"/>
  <c r="C303"/>
  <c r="I302"/>
  <c r="B303"/>
  <c r="E301" i="2"/>
  <c r="G301" s="1"/>
  <c r="R8"/>
  <c r="AB8" s="1"/>
  <c r="AF8" s="1"/>
  <c r="E543"/>
  <c r="G543"/>
  <c r="E235"/>
  <c r="G235" s="1"/>
  <c r="AC15"/>
  <c r="C43" i="5"/>
  <c r="I42"/>
  <c r="B43"/>
  <c r="E455" i="2"/>
  <c r="G455" s="1"/>
  <c r="L169"/>
  <c r="K169" s="1"/>
  <c r="J169"/>
  <c r="D170"/>
  <c r="AC16"/>
  <c r="AE21"/>
  <c r="AG21" s="1"/>
  <c r="T21"/>
  <c r="AH21"/>
  <c r="R12"/>
  <c r="AB12" s="1"/>
  <c r="AF12" s="1"/>
  <c r="R7"/>
  <c r="AB7" s="1"/>
  <c r="AF7" s="1"/>
  <c r="AF28" s="1"/>
  <c r="AC7" l="1"/>
  <c r="AC8"/>
  <c r="AC11"/>
  <c r="L61"/>
  <c r="I323"/>
  <c r="H323"/>
  <c r="H44" i="1"/>
  <c r="I44"/>
  <c r="I301" i="2"/>
  <c r="H301"/>
  <c r="H235"/>
  <c r="I235"/>
  <c r="I345"/>
  <c r="H345"/>
  <c r="I455"/>
  <c r="H455"/>
  <c r="H213"/>
  <c r="I213"/>
  <c r="I477"/>
  <c r="H477"/>
  <c r="I609"/>
  <c r="H609"/>
  <c r="F170"/>
  <c r="T15"/>
  <c r="AH15"/>
  <c r="AE15"/>
  <c r="AG15" s="1"/>
  <c r="W10"/>
  <c r="V10" s="1"/>
  <c r="U10"/>
  <c r="AE11"/>
  <c r="AG11" s="1"/>
  <c r="T11"/>
  <c r="AH11"/>
  <c r="AF30"/>
  <c r="W9"/>
  <c r="V9" s="1"/>
  <c r="U9"/>
  <c r="T7"/>
  <c r="AE7"/>
  <c r="AG7" s="1"/>
  <c r="AH7"/>
  <c r="L367"/>
  <c r="K367" s="1"/>
  <c r="J367"/>
  <c r="D368"/>
  <c r="L257"/>
  <c r="K257" s="1"/>
  <c r="J257"/>
  <c r="D258"/>
  <c r="F74"/>
  <c r="F73"/>
  <c r="M61"/>
  <c r="L66"/>
  <c r="J7" i="1"/>
  <c r="Q17" s="1"/>
  <c r="Q16" s="1"/>
  <c r="J91" i="2"/>
  <c r="L91"/>
  <c r="K91" s="1"/>
  <c r="D92"/>
  <c r="T23"/>
  <c r="AE23"/>
  <c r="AG23" s="1"/>
  <c r="AH23"/>
  <c r="AC12"/>
  <c r="C302" i="5"/>
  <c r="I301"/>
  <c r="B302"/>
  <c r="W24" i="2"/>
  <c r="V24" s="1"/>
  <c r="U24"/>
  <c r="W14"/>
  <c r="V14" s="1"/>
  <c r="U14"/>
  <c r="P16" i="1"/>
  <c r="L433" i="2"/>
  <c r="K433" s="1"/>
  <c r="J433"/>
  <c r="D434"/>
  <c r="AC25"/>
  <c r="U20"/>
  <c r="W20"/>
  <c r="V20" s="1"/>
  <c r="L499"/>
  <c r="K499" s="1"/>
  <c r="J499"/>
  <c r="D500"/>
  <c r="C337" i="5"/>
  <c r="I338"/>
  <c r="B337"/>
  <c r="W6" i="2"/>
  <c r="V6" s="1"/>
  <c r="U6"/>
  <c r="H543"/>
  <c r="I543"/>
  <c r="U21"/>
  <c r="W21"/>
  <c r="V21" s="1"/>
  <c r="L631"/>
  <c r="K631" s="1"/>
  <c r="J631"/>
  <c r="D632"/>
  <c r="AG6"/>
  <c r="L521"/>
  <c r="K521" s="1"/>
  <c r="J521"/>
  <c r="D522"/>
  <c r="J587"/>
  <c r="L587"/>
  <c r="K587" s="1"/>
  <c r="D588"/>
  <c r="L411"/>
  <c r="K411" s="1"/>
  <c r="J411"/>
  <c r="D412"/>
  <c r="C42" i="5"/>
  <c r="I41"/>
  <c r="B42"/>
  <c r="C75"/>
  <c r="I76"/>
  <c r="B75"/>
  <c r="J191" i="2"/>
  <c r="L191"/>
  <c r="K191" s="1"/>
  <c r="D192"/>
  <c r="AH16"/>
  <c r="AE16"/>
  <c r="AG16" s="1"/>
  <c r="T16"/>
  <c r="T8"/>
  <c r="AH8"/>
  <c r="AE8"/>
  <c r="AG8" s="1"/>
  <c r="AC13"/>
  <c r="F280"/>
  <c r="L389"/>
  <c r="K389" s="1"/>
  <c r="J389"/>
  <c r="D390"/>
  <c r="J565"/>
  <c r="L565"/>
  <c r="K565" s="1"/>
  <c r="D566"/>
  <c r="AF29"/>
  <c r="L7" i="1" l="1"/>
  <c r="F500" i="2"/>
  <c r="F258"/>
  <c r="U7"/>
  <c r="W7"/>
  <c r="V7" s="1"/>
  <c r="L235"/>
  <c r="K235" s="1"/>
  <c r="J235"/>
  <c r="D236"/>
  <c r="W8"/>
  <c r="V8" s="1"/>
  <c r="U8"/>
  <c r="C41" i="5"/>
  <c r="I40"/>
  <c r="B41"/>
  <c r="J543" i="2"/>
  <c r="L543"/>
  <c r="K543" s="1"/>
  <c r="D544"/>
  <c r="O16" i="1"/>
  <c r="C301" i="5"/>
  <c r="I300"/>
  <c r="B301"/>
  <c r="L477" i="2"/>
  <c r="K477" s="1"/>
  <c r="J477"/>
  <c r="D478"/>
  <c r="F522"/>
  <c r="L213"/>
  <c r="K213" s="1"/>
  <c r="J213"/>
  <c r="D214"/>
  <c r="U15"/>
  <c r="W15"/>
  <c r="V15" s="1"/>
  <c r="L301"/>
  <c r="K301" s="1"/>
  <c r="J301"/>
  <c r="D302"/>
  <c r="F390"/>
  <c r="F18" i="1"/>
  <c r="M7"/>
  <c r="L15"/>
  <c r="L12"/>
  <c r="H73" i="2"/>
  <c r="G73"/>
  <c r="E170"/>
  <c r="G170" s="1"/>
  <c r="J44" i="1"/>
  <c r="L44"/>
  <c r="K44" s="1"/>
  <c r="D45"/>
  <c r="F632" i="2"/>
  <c r="AH12"/>
  <c r="AE12"/>
  <c r="AG12" s="1"/>
  <c r="T12"/>
  <c r="F412"/>
  <c r="E280"/>
  <c r="G280" s="1"/>
  <c r="T25"/>
  <c r="AH25"/>
  <c r="AE25"/>
  <c r="AG25" s="1"/>
  <c r="P61"/>
  <c r="O61" s="1"/>
  <c r="N61"/>
  <c r="W11"/>
  <c r="V11" s="1"/>
  <c r="U11"/>
  <c r="L455"/>
  <c r="K455" s="1"/>
  <c r="J455"/>
  <c r="D456"/>
  <c r="F368"/>
  <c r="F192"/>
  <c r="C76" i="5"/>
  <c r="I77"/>
  <c r="B76"/>
  <c r="C338"/>
  <c r="I339"/>
  <c r="B338"/>
  <c r="F434" i="2"/>
  <c r="U23"/>
  <c r="W23"/>
  <c r="V23" s="1"/>
  <c r="H74"/>
  <c r="G74"/>
  <c r="W16"/>
  <c r="V16" s="1"/>
  <c r="U16"/>
  <c r="F566"/>
  <c r="AE13"/>
  <c r="AG13" s="1"/>
  <c r="T13"/>
  <c r="AH13"/>
  <c r="F588"/>
  <c r="AE47"/>
  <c r="F92"/>
  <c r="L609"/>
  <c r="K609" s="1"/>
  <c r="J609"/>
  <c r="D610"/>
  <c r="L345"/>
  <c r="K345" s="1"/>
  <c r="J345"/>
  <c r="D346"/>
  <c r="L323"/>
  <c r="K323" s="1"/>
  <c r="J323"/>
  <c r="D324"/>
  <c r="AG29"/>
  <c r="AE29"/>
  <c r="AE28" l="1"/>
  <c r="AG30"/>
  <c r="I280"/>
  <c r="H280"/>
  <c r="I170"/>
  <c r="H170"/>
  <c r="F346"/>
  <c r="G18" i="1"/>
  <c r="H18"/>
  <c r="AG28" i="2"/>
  <c r="E258"/>
  <c r="G258" s="1"/>
  <c r="E368"/>
  <c r="G368" s="1"/>
  <c r="E412"/>
  <c r="G412" s="1"/>
  <c r="P7" i="1"/>
  <c r="O7" s="1"/>
  <c r="N7"/>
  <c r="G32"/>
  <c r="H32"/>
  <c r="F544" i="2"/>
  <c r="E632"/>
  <c r="G632" s="1"/>
  <c r="C300" i="5"/>
  <c r="I299"/>
  <c r="B300"/>
  <c r="E588" i="2"/>
  <c r="G588"/>
  <c r="F214"/>
  <c r="F478"/>
  <c r="F456"/>
  <c r="U12"/>
  <c r="W12"/>
  <c r="V12" s="1"/>
  <c r="E390"/>
  <c r="G390" s="1"/>
  <c r="F236"/>
  <c r="E500"/>
  <c r="G500" s="1"/>
  <c r="C339" i="5"/>
  <c r="I340"/>
  <c r="B339"/>
  <c r="F45" i="1"/>
  <c r="E522" i="2"/>
  <c r="G522"/>
  <c r="F610"/>
  <c r="U13"/>
  <c r="W13"/>
  <c r="V13" s="1"/>
  <c r="F324"/>
  <c r="C77" i="5"/>
  <c r="I78"/>
  <c r="B77"/>
  <c r="W25" i="2"/>
  <c r="V25" s="1"/>
  <c r="U25"/>
  <c r="AE48"/>
  <c r="AE50" s="1"/>
  <c r="E192"/>
  <c r="G192" s="1"/>
  <c r="C40" i="5"/>
  <c r="I39"/>
  <c r="B40"/>
  <c r="E92" i="2"/>
  <c r="G92" s="1"/>
  <c r="E566"/>
  <c r="G566"/>
  <c r="E434"/>
  <c r="G434" s="1"/>
  <c r="AH28"/>
  <c r="AH30"/>
  <c r="F302"/>
  <c r="AE30"/>
  <c r="AH29"/>
  <c r="H500" l="1"/>
  <c r="I500"/>
  <c r="H390"/>
  <c r="I390"/>
  <c r="H412"/>
  <c r="I412"/>
  <c r="H368"/>
  <c r="I368"/>
  <c r="H434"/>
  <c r="I434"/>
  <c r="I192"/>
  <c r="H192"/>
  <c r="H632"/>
  <c r="I632"/>
  <c r="H258"/>
  <c r="I258"/>
  <c r="C340" i="5"/>
  <c r="I341"/>
  <c r="B340"/>
  <c r="E544" i="2"/>
  <c r="G544"/>
  <c r="E456"/>
  <c r="G456" s="1"/>
  <c r="I92"/>
  <c r="H92"/>
  <c r="E214"/>
  <c r="G214"/>
  <c r="C39" i="5"/>
  <c r="I38"/>
  <c r="B39"/>
  <c r="E610" i="2"/>
  <c r="G610" s="1"/>
  <c r="C78" i="5"/>
  <c r="I79"/>
  <c r="B78"/>
  <c r="E236" i="2"/>
  <c r="G236"/>
  <c r="C299" i="5"/>
  <c r="I298"/>
  <c r="B299"/>
  <c r="L170" i="2"/>
  <c r="K170" s="1"/>
  <c r="J170"/>
  <c r="D171"/>
  <c r="H522"/>
  <c r="I522"/>
  <c r="H566"/>
  <c r="I566"/>
  <c r="E324"/>
  <c r="G324" s="1"/>
  <c r="E45" i="1"/>
  <c r="G45" s="1"/>
  <c r="E478" i="2"/>
  <c r="G478" s="1"/>
  <c r="G34" i="1"/>
  <c r="H34"/>
  <c r="H588" i="2"/>
  <c r="I588"/>
  <c r="E346"/>
  <c r="G346" s="1"/>
  <c r="E302"/>
  <c r="G302" s="1"/>
  <c r="J280"/>
  <c r="L280"/>
  <c r="K280" s="1"/>
  <c r="D281"/>
  <c r="H346" l="1"/>
  <c r="I346"/>
  <c r="I324"/>
  <c r="H324"/>
  <c r="H610"/>
  <c r="I610"/>
  <c r="I302"/>
  <c r="H302"/>
  <c r="H456"/>
  <c r="I456"/>
  <c r="H478"/>
  <c r="I478"/>
  <c r="L258"/>
  <c r="K258" s="1"/>
  <c r="J258"/>
  <c r="D259"/>
  <c r="L368"/>
  <c r="K368" s="1"/>
  <c r="J368"/>
  <c r="D369"/>
  <c r="C38" i="5"/>
  <c r="I37"/>
  <c r="B38"/>
  <c r="C79"/>
  <c r="I80"/>
  <c r="B79"/>
  <c r="I214" i="2"/>
  <c r="H214"/>
  <c r="F281"/>
  <c r="L390"/>
  <c r="K390" s="1"/>
  <c r="J390"/>
  <c r="D391"/>
  <c r="J412"/>
  <c r="L412"/>
  <c r="K412" s="1"/>
  <c r="D413"/>
  <c r="C341" i="5"/>
  <c r="I342"/>
  <c r="B341"/>
  <c r="L192" i="2"/>
  <c r="K192" s="1"/>
  <c r="J192"/>
  <c r="D193"/>
  <c r="F171"/>
  <c r="L632"/>
  <c r="K632" s="1"/>
  <c r="J632"/>
  <c r="D633"/>
  <c r="J588"/>
  <c r="L588"/>
  <c r="K588" s="1"/>
  <c r="D589"/>
  <c r="L566"/>
  <c r="K566" s="1"/>
  <c r="J566"/>
  <c r="D567"/>
  <c r="C298" i="5"/>
  <c r="I297"/>
  <c r="B298"/>
  <c r="L92" i="2"/>
  <c r="K92" s="1"/>
  <c r="J92"/>
  <c r="D93"/>
  <c r="L434"/>
  <c r="K434" s="1"/>
  <c r="J434"/>
  <c r="D435"/>
  <c r="J500"/>
  <c r="L500"/>
  <c r="K500" s="1"/>
  <c r="D501"/>
  <c r="I236"/>
  <c r="H236"/>
  <c r="H45" i="1"/>
  <c r="I45"/>
  <c r="H544" i="2"/>
  <c r="I544"/>
  <c r="L522"/>
  <c r="K522" s="1"/>
  <c r="J522"/>
  <c r="D523"/>
  <c r="F567" l="1"/>
  <c r="C342" i="5"/>
  <c r="I343"/>
  <c r="B342"/>
  <c r="F259" i="2"/>
  <c r="L302"/>
  <c r="K302" s="1"/>
  <c r="J302"/>
  <c r="D303"/>
  <c r="E171"/>
  <c r="G171" s="1"/>
  <c r="J610"/>
  <c r="L610"/>
  <c r="K610" s="1"/>
  <c r="D611"/>
  <c r="E281"/>
  <c r="G281" s="1"/>
  <c r="F93"/>
  <c r="F523"/>
  <c r="L236"/>
  <c r="K236" s="1"/>
  <c r="J236"/>
  <c r="D237"/>
  <c r="F589"/>
  <c r="F413"/>
  <c r="C37" i="5"/>
  <c r="I36"/>
  <c r="B37"/>
  <c r="L478" i="2"/>
  <c r="K478" s="1"/>
  <c r="J478"/>
  <c r="D479"/>
  <c r="F193"/>
  <c r="L324"/>
  <c r="K324" s="1"/>
  <c r="J324"/>
  <c r="D325"/>
  <c r="F435"/>
  <c r="C80" i="5"/>
  <c r="I81"/>
  <c r="B80"/>
  <c r="F501" i="2"/>
  <c r="J214"/>
  <c r="L214"/>
  <c r="K214" s="1"/>
  <c r="D215"/>
  <c r="F369"/>
  <c r="L456"/>
  <c r="K456" s="1"/>
  <c r="J456"/>
  <c r="D457"/>
  <c r="J346"/>
  <c r="L346"/>
  <c r="K346" s="1"/>
  <c r="D347"/>
  <c r="L45" i="1"/>
  <c r="K45" s="1"/>
  <c r="J45"/>
  <c r="D46"/>
  <c r="L544" i="2"/>
  <c r="K544" s="1"/>
  <c r="J544"/>
  <c r="D545"/>
  <c r="C297" i="5"/>
  <c r="I296"/>
  <c r="B297"/>
  <c r="F633" i="2"/>
  <c r="F391"/>
  <c r="I281" l="1"/>
  <c r="H281"/>
  <c r="H171"/>
  <c r="I171"/>
  <c r="E523"/>
  <c r="G523" s="1"/>
  <c r="E193"/>
  <c r="G193" s="1"/>
  <c r="E413"/>
  <c r="G413" s="1"/>
  <c r="C81" i="5"/>
  <c r="I82"/>
  <c r="B81"/>
  <c r="E93" i="2"/>
  <c r="G93" s="1"/>
  <c r="C343" i="5"/>
  <c r="I344"/>
  <c r="B343"/>
  <c r="F611" i="2"/>
  <c r="C296" i="5"/>
  <c r="I295"/>
  <c r="B296"/>
  <c r="F215" i="2"/>
  <c r="E589"/>
  <c r="G589" s="1"/>
  <c r="E501"/>
  <c r="G501"/>
  <c r="E259"/>
  <c r="G259"/>
  <c r="E633"/>
  <c r="G633" s="1"/>
  <c r="E369"/>
  <c r="G369" s="1"/>
  <c r="F347"/>
  <c r="F479"/>
  <c r="E435"/>
  <c r="G435" s="1"/>
  <c r="F303"/>
  <c r="E567"/>
  <c r="G567"/>
  <c r="F46" i="1"/>
  <c r="F545" i="2"/>
  <c r="F237"/>
  <c r="C36" i="5"/>
  <c r="I35"/>
  <c r="B36"/>
  <c r="E391" i="2"/>
  <c r="G391" s="1"/>
  <c r="F457"/>
  <c r="F325"/>
  <c r="I413" l="1"/>
  <c r="H413"/>
  <c r="I391"/>
  <c r="H391"/>
  <c r="H193"/>
  <c r="I193"/>
  <c r="H93"/>
  <c r="I93"/>
  <c r="I435"/>
  <c r="H435"/>
  <c r="I589"/>
  <c r="H589"/>
  <c r="I369"/>
  <c r="H369"/>
  <c r="I523"/>
  <c r="H523"/>
  <c r="I633"/>
  <c r="H633"/>
  <c r="I567"/>
  <c r="H567"/>
  <c r="I501"/>
  <c r="H501"/>
  <c r="E611"/>
  <c r="G611"/>
  <c r="C82" i="5"/>
  <c r="I83"/>
  <c r="B82"/>
  <c r="E347" i="2"/>
  <c r="G347" s="1"/>
  <c r="E237"/>
  <c r="G237"/>
  <c r="E303"/>
  <c r="G303" s="1"/>
  <c r="E457"/>
  <c r="G457" s="1"/>
  <c r="E545"/>
  <c r="G545" s="1"/>
  <c r="E215"/>
  <c r="G215" s="1"/>
  <c r="C344" i="5"/>
  <c r="I345"/>
  <c r="B344"/>
  <c r="L171" i="2"/>
  <c r="K171" s="1"/>
  <c r="J171"/>
  <c r="D172"/>
  <c r="C35" i="5"/>
  <c r="I34"/>
  <c r="B35"/>
  <c r="E325" i="2"/>
  <c r="G325" s="1"/>
  <c r="E46" i="1"/>
  <c r="G46" s="1"/>
  <c r="E479" i="2"/>
  <c r="G479" s="1"/>
  <c r="H259"/>
  <c r="I259"/>
  <c r="C295" i="5"/>
  <c r="I294"/>
  <c r="B295"/>
  <c r="L281" i="2"/>
  <c r="K281" s="1"/>
  <c r="J281"/>
  <c r="D282"/>
  <c r="I457" l="1"/>
  <c r="H457"/>
  <c r="H303"/>
  <c r="I303"/>
  <c r="I325"/>
  <c r="H325"/>
  <c r="I479"/>
  <c r="H479"/>
  <c r="I347"/>
  <c r="H347"/>
  <c r="H215"/>
  <c r="I215"/>
  <c r="I46" i="1"/>
  <c r="H46"/>
  <c r="I545" i="2"/>
  <c r="H545"/>
  <c r="F172"/>
  <c r="H237"/>
  <c r="I237"/>
  <c r="L523"/>
  <c r="K523" s="1"/>
  <c r="J523"/>
  <c r="D524"/>
  <c r="I611"/>
  <c r="H611"/>
  <c r="L193"/>
  <c r="K193" s="1"/>
  <c r="J193"/>
  <c r="D194"/>
  <c r="J501"/>
  <c r="L501"/>
  <c r="K501" s="1"/>
  <c r="D502"/>
  <c r="L369"/>
  <c r="K369" s="1"/>
  <c r="J369"/>
  <c r="D370"/>
  <c r="L93"/>
  <c r="K93" s="1"/>
  <c r="J93"/>
  <c r="D94"/>
  <c r="L567"/>
  <c r="K567" s="1"/>
  <c r="J567"/>
  <c r="D568"/>
  <c r="L589"/>
  <c r="K589" s="1"/>
  <c r="J589"/>
  <c r="D590"/>
  <c r="L391"/>
  <c r="K391" s="1"/>
  <c r="J391"/>
  <c r="D392"/>
  <c r="C294" i="5"/>
  <c r="I293"/>
  <c r="B294"/>
  <c r="L259" i="2"/>
  <c r="K259" s="1"/>
  <c r="J259"/>
  <c r="D260"/>
  <c r="F282"/>
  <c r="C83" i="5"/>
  <c r="I84"/>
  <c r="B83"/>
  <c r="C345"/>
  <c r="I346"/>
  <c r="B345"/>
  <c r="C34"/>
  <c r="I33"/>
  <c r="B34"/>
  <c r="J633" i="2"/>
  <c r="L633"/>
  <c r="K633" s="1"/>
  <c r="D634"/>
  <c r="L435"/>
  <c r="K435" s="1"/>
  <c r="J435"/>
  <c r="D436"/>
  <c r="J413"/>
  <c r="L413"/>
  <c r="K413" s="1"/>
  <c r="D414"/>
  <c r="C346" i="5" l="1"/>
  <c r="I347"/>
  <c r="B346"/>
  <c r="F502" i="2"/>
  <c r="F524"/>
  <c r="L545"/>
  <c r="K545" s="1"/>
  <c r="J545"/>
  <c r="D546"/>
  <c r="L479"/>
  <c r="K479" s="1"/>
  <c r="J479"/>
  <c r="D480"/>
  <c r="E282"/>
  <c r="G282"/>
  <c r="F260"/>
  <c r="F94"/>
  <c r="F590"/>
  <c r="L46" i="1"/>
  <c r="K46" s="1"/>
  <c r="J46"/>
  <c r="D47"/>
  <c r="L325" i="2"/>
  <c r="K325" s="1"/>
  <c r="J325"/>
  <c r="D326"/>
  <c r="F194"/>
  <c r="L237"/>
  <c r="K237" s="1"/>
  <c r="J237"/>
  <c r="D238"/>
  <c r="J215"/>
  <c r="L215"/>
  <c r="K215" s="1"/>
  <c r="D216"/>
  <c r="J303"/>
  <c r="L303"/>
  <c r="K303" s="1"/>
  <c r="D304"/>
  <c r="L611"/>
  <c r="K611" s="1"/>
  <c r="J611"/>
  <c r="D612"/>
  <c r="F634"/>
  <c r="F414"/>
  <c r="C84" i="5"/>
  <c r="I85"/>
  <c r="B84"/>
  <c r="C33"/>
  <c r="I32"/>
  <c r="B33"/>
  <c r="C293"/>
  <c r="I292"/>
  <c r="B293"/>
  <c r="F568" i="2"/>
  <c r="F370"/>
  <c r="E172"/>
  <c r="G172" s="1"/>
  <c r="F392"/>
  <c r="F436"/>
  <c r="J347"/>
  <c r="L347"/>
  <c r="K347" s="1"/>
  <c r="D348"/>
  <c r="J457"/>
  <c r="L457"/>
  <c r="K457" s="1"/>
  <c r="D458"/>
  <c r="I172" l="1"/>
  <c r="H172"/>
  <c r="H282"/>
  <c r="I282"/>
  <c r="E634"/>
  <c r="G634" s="1"/>
  <c r="E194"/>
  <c r="G194" s="1"/>
  <c r="E590"/>
  <c r="G590" s="1"/>
  <c r="F480"/>
  <c r="E502"/>
  <c r="G502" s="1"/>
  <c r="E370"/>
  <c r="G370" s="1"/>
  <c r="C32" i="5"/>
  <c r="I31"/>
  <c r="B32"/>
  <c r="F348" i="2"/>
  <c r="F612"/>
  <c r="F216"/>
  <c r="F326"/>
  <c r="E94"/>
  <c r="G94" s="1"/>
  <c r="E414"/>
  <c r="G414" s="1"/>
  <c r="E524"/>
  <c r="G524" s="1"/>
  <c r="F546"/>
  <c r="C347" i="5"/>
  <c r="I348"/>
  <c r="B347"/>
  <c r="F304" i="2"/>
  <c r="E436"/>
  <c r="G436" s="1"/>
  <c r="E568"/>
  <c r="G568" s="1"/>
  <c r="F458"/>
  <c r="C85" i="5"/>
  <c r="I86"/>
  <c r="B85"/>
  <c r="E260" i="2"/>
  <c r="G260"/>
  <c r="C292" i="5"/>
  <c r="I291"/>
  <c r="B292"/>
  <c r="E392" i="2"/>
  <c r="G392" s="1"/>
  <c r="F238"/>
  <c r="F47" i="1"/>
  <c r="H524" i="2" l="1"/>
  <c r="I524"/>
  <c r="H590"/>
  <c r="I590"/>
  <c r="H634"/>
  <c r="I634"/>
  <c r="H414"/>
  <c r="I414"/>
  <c r="H392"/>
  <c r="I392"/>
  <c r="H436"/>
  <c r="I436"/>
  <c r="I370"/>
  <c r="H370"/>
  <c r="I194"/>
  <c r="H194"/>
  <c r="I568"/>
  <c r="H568"/>
  <c r="I94"/>
  <c r="H94"/>
  <c r="H502"/>
  <c r="I502"/>
  <c r="E546"/>
  <c r="G546"/>
  <c r="E348"/>
  <c r="G348" s="1"/>
  <c r="E612"/>
  <c r="G612" s="1"/>
  <c r="I260"/>
  <c r="H260"/>
  <c r="E480"/>
  <c r="G480"/>
  <c r="L282"/>
  <c r="K282" s="1"/>
  <c r="J282"/>
  <c r="D283"/>
  <c r="E326"/>
  <c r="G326"/>
  <c r="C86" i="5"/>
  <c r="I87"/>
  <c r="B86"/>
  <c r="E304" i="2"/>
  <c r="G304" s="1"/>
  <c r="C31" i="5"/>
  <c r="I30"/>
  <c r="B31"/>
  <c r="E47" i="1"/>
  <c r="G47" s="1"/>
  <c r="C291" i="5"/>
  <c r="I290"/>
  <c r="B291"/>
  <c r="C348"/>
  <c r="I349"/>
  <c r="B348"/>
  <c r="E238" i="2"/>
  <c r="G238" s="1"/>
  <c r="E216"/>
  <c r="G216" s="1"/>
  <c r="E458"/>
  <c r="G458" s="1"/>
  <c r="L172"/>
  <c r="K172" s="1"/>
  <c r="J172"/>
  <c r="D173"/>
  <c r="I238" l="1"/>
  <c r="H238"/>
  <c r="H458"/>
  <c r="I458"/>
  <c r="H612"/>
  <c r="I612"/>
  <c r="I304"/>
  <c r="H304"/>
  <c r="I216"/>
  <c r="H216"/>
  <c r="H348"/>
  <c r="I348"/>
  <c r="L194"/>
  <c r="K194" s="1"/>
  <c r="J194"/>
  <c r="D195"/>
  <c r="C349" i="5"/>
  <c r="I350"/>
  <c r="B349"/>
  <c r="C30"/>
  <c r="I29"/>
  <c r="B30"/>
  <c r="L502" i="2"/>
  <c r="K502" s="1"/>
  <c r="J502"/>
  <c r="D503"/>
  <c r="J634"/>
  <c r="L634"/>
  <c r="K634" s="1"/>
  <c r="D635"/>
  <c r="H480"/>
  <c r="I480"/>
  <c r="I326"/>
  <c r="H326"/>
  <c r="F283"/>
  <c r="J260"/>
  <c r="L260"/>
  <c r="K260" s="1"/>
  <c r="D261"/>
  <c r="L370"/>
  <c r="K370" s="1"/>
  <c r="J370"/>
  <c r="D371"/>
  <c r="L414"/>
  <c r="K414" s="1"/>
  <c r="J414"/>
  <c r="D415"/>
  <c r="J436"/>
  <c r="L436"/>
  <c r="K436" s="1"/>
  <c r="D437"/>
  <c r="L590"/>
  <c r="K590" s="1"/>
  <c r="J590"/>
  <c r="D591"/>
  <c r="L94"/>
  <c r="K94" s="1"/>
  <c r="J94"/>
  <c r="D95"/>
  <c r="I47" i="1"/>
  <c r="H47"/>
  <c r="H546" i="2"/>
  <c r="I546"/>
  <c r="L392"/>
  <c r="K392" s="1"/>
  <c r="J392"/>
  <c r="D393"/>
  <c r="J524"/>
  <c r="L524"/>
  <c r="K524" s="1"/>
  <c r="D525"/>
  <c r="C290" i="5"/>
  <c r="I289"/>
  <c r="B290"/>
  <c r="F173" i="2"/>
  <c r="C87" i="5"/>
  <c r="I88"/>
  <c r="B87"/>
  <c r="L568" i="2"/>
  <c r="K568" s="1"/>
  <c r="J568"/>
  <c r="D569"/>
  <c r="L326" l="1"/>
  <c r="K326" s="1"/>
  <c r="J326"/>
  <c r="D327"/>
  <c r="L47" i="1"/>
  <c r="K47" s="1"/>
  <c r="J47"/>
  <c r="D48"/>
  <c r="L480" i="2"/>
  <c r="K480" s="1"/>
  <c r="J480"/>
  <c r="D481"/>
  <c r="J304"/>
  <c r="L304"/>
  <c r="K304" s="1"/>
  <c r="D305"/>
  <c r="F437"/>
  <c r="E173"/>
  <c r="G173" s="1"/>
  <c r="F393"/>
  <c r="F95"/>
  <c r="F261"/>
  <c r="C29" i="5"/>
  <c r="I28"/>
  <c r="B29"/>
  <c r="L612" i="2"/>
  <c r="K612" s="1"/>
  <c r="J612"/>
  <c r="D613"/>
  <c r="F635"/>
  <c r="F415"/>
  <c r="L348"/>
  <c r="K348" s="1"/>
  <c r="J348"/>
  <c r="D349"/>
  <c r="L458"/>
  <c r="K458" s="1"/>
  <c r="J458"/>
  <c r="D459"/>
  <c r="F569"/>
  <c r="C289" i="5"/>
  <c r="I288"/>
  <c r="B289"/>
  <c r="F591" i="2"/>
  <c r="E283"/>
  <c r="G283" s="1"/>
  <c r="C350" i="5"/>
  <c r="I351"/>
  <c r="B350"/>
  <c r="C88"/>
  <c r="I89"/>
  <c r="B88"/>
  <c r="F195" i="2"/>
  <c r="J546"/>
  <c r="L546"/>
  <c r="K546" s="1"/>
  <c r="D547"/>
  <c r="F503"/>
  <c r="F525"/>
  <c r="F371"/>
  <c r="L216"/>
  <c r="K216" s="1"/>
  <c r="J216"/>
  <c r="D217"/>
  <c r="L238"/>
  <c r="K238" s="1"/>
  <c r="J238"/>
  <c r="D239"/>
  <c r="H173" l="1"/>
  <c r="I173"/>
  <c r="H283"/>
  <c r="I283"/>
  <c r="E591"/>
  <c r="G591" s="1"/>
  <c r="E635"/>
  <c r="G635" s="1"/>
  <c r="E261"/>
  <c r="G261" s="1"/>
  <c r="E437"/>
  <c r="G437" s="1"/>
  <c r="F217"/>
  <c r="E503"/>
  <c r="G503" s="1"/>
  <c r="C89" i="5"/>
  <c r="I90"/>
  <c r="B89"/>
  <c r="F48" i="1"/>
  <c r="F349" i="2"/>
  <c r="F613"/>
  <c r="E95"/>
  <c r="G95" s="1"/>
  <c r="F305"/>
  <c r="C288" i="5"/>
  <c r="I287"/>
  <c r="B288"/>
  <c r="F459" i="2"/>
  <c r="C351" i="5"/>
  <c r="I352"/>
  <c r="B351"/>
  <c r="E393" i="2"/>
  <c r="G393"/>
  <c r="F327"/>
  <c r="F547"/>
  <c r="F239"/>
  <c r="E569"/>
  <c r="G569" s="1"/>
  <c r="E371"/>
  <c r="G371" s="1"/>
  <c r="E525"/>
  <c r="G525" s="1"/>
  <c r="E195"/>
  <c r="G195" s="1"/>
  <c r="E415"/>
  <c r="G415" s="1"/>
  <c r="C28" i="5"/>
  <c r="I27"/>
  <c r="B28"/>
  <c r="F481" i="2"/>
  <c r="I437" l="1"/>
  <c r="H437"/>
  <c r="I371"/>
  <c r="H371"/>
  <c r="I635"/>
  <c r="H635"/>
  <c r="I415"/>
  <c r="H415"/>
  <c r="I569"/>
  <c r="H569"/>
  <c r="I591"/>
  <c r="H591"/>
  <c r="H195"/>
  <c r="I195"/>
  <c r="I503"/>
  <c r="H503"/>
  <c r="I261"/>
  <c r="H261"/>
  <c r="I525"/>
  <c r="H525"/>
  <c r="H95"/>
  <c r="I95"/>
  <c r="C352" i="5"/>
  <c r="I353"/>
  <c r="B352"/>
  <c r="E305" i="2"/>
  <c r="G305" s="1"/>
  <c r="E217"/>
  <c r="G217"/>
  <c r="E481"/>
  <c r="G481" s="1"/>
  <c r="E547"/>
  <c r="G547" s="1"/>
  <c r="E48" i="1"/>
  <c r="G48" s="1"/>
  <c r="E459" i="2"/>
  <c r="G459" s="1"/>
  <c r="E239"/>
  <c r="G239"/>
  <c r="C27" i="5"/>
  <c r="I26"/>
  <c r="B27"/>
  <c r="E327" i="2"/>
  <c r="G327"/>
  <c r="L283"/>
  <c r="K283" s="1"/>
  <c r="J283"/>
  <c r="D284"/>
  <c r="E613"/>
  <c r="G613" s="1"/>
  <c r="C90" i="5"/>
  <c r="I91"/>
  <c r="B90"/>
  <c r="I393" i="2"/>
  <c r="H393"/>
  <c r="C287" i="5"/>
  <c r="I286"/>
  <c r="B287"/>
  <c r="L173" i="2"/>
  <c r="K173" s="1"/>
  <c r="J173"/>
  <c r="D174"/>
  <c r="E349"/>
  <c r="G349" s="1"/>
  <c r="I48" i="1" l="1"/>
  <c r="H48"/>
  <c r="I459" i="2"/>
  <c r="H459"/>
  <c r="I613"/>
  <c r="H613"/>
  <c r="I349"/>
  <c r="H349"/>
  <c r="I547"/>
  <c r="H547"/>
  <c r="I305"/>
  <c r="H305"/>
  <c r="I481"/>
  <c r="H481"/>
  <c r="L503"/>
  <c r="K503" s="1"/>
  <c r="J503"/>
  <c r="D504"/>
  <c r="L415"/>
  <c r="K415" s="1"/>
  <c r="J415"/>
  <c r="D416"/>
  <c r="C91" i="5"/>
  <c r="I92"/>
  <c r="B91"/>
  <c r="L95" i="2"/>
  <c r="K95" s="1"/>
  <c r="J95"/>
  <c r="D96"/>
  <c r="L195"/>
  <c r="K195" s="1"/>
  <c r="J195"/>
  <c r="D196"/>
  <c r="H217"/>
  <c r="I217"/>
  <c r="L635"/>
  <c r="K635" s="1"/>
  <c r="J635"/>
  <c r="D636"/>
  <c r="H239"/>
  <c r="I239"/>
  <c r="L525"/>
  <c r="K525" s="1"/>
  <c r="J525"/>
  <c r="D526"/>
  <c r="L591"/>
  <c r="K591" s="1"/>
  <c r="J591"/>
  <c r="D592"/>
  <c r="J371"/>
  <c r="L371"/>
  <c r="K371" s="1"/>
  <c r="D372"/>
  <c r="L393"/>
  <c r="K393" s="1"/>
  <c r="J393"/>
  <c r="D394"/>
  <c r="C353" i="5"/>
  <c r="I354"/>
  <c r="B353"/>
  <c r="F174" i="2"/>
  <c r="I327"/>
  <c r="H327"/>
  <c r="C286" i="5"/>
  <c r="I285"/>
  <c r="B286"/>
  <c r="C26"/>
  <c r="I25"/>
  <c r="B26"/>
  <c r="F284" i="2"/>
  <c r="L261"/>
  <c r="K261" s="1"/>
  <c r="J261"/>
  <c r="D262"/>
  <c r="J569"/>
  <c r="L569"/>
  <c r="K569" s="1"/>
  <c r="D570"/>
  <c r="L437"/>
  <c r="K437" s="1"/>
  <c r="J437"/>
  <c r="D438"/>
  <c r="C25" i="5" l="1"/>
  <c r="I24"/>
  <c r="B25"/>
  <c r="C92"/>
  <c r="I93"/>
  <c r="B92"/>
  <c r="L349" i="2"/>
  <c r="K349" s="1"/>
  <c r="J349"/>
  <c r="D350"/>
  <c r="F196"/>
  <c r="C354" i="5"/>
  <c r="I355"/>
  <c r="B354"/>
  <c r="F592" i="2"/>
  <c r="J239"/>
  <c r="L239"/>
  <c r="K239" s="1"/>
  <c r="D240"/>
  <c r="L481"/>
  <c r="K481" s="1"/>
  <c r="J481"/>
  <c r="D482"/>
  <c r="J613"/>
  <c r="L613"/>
  <c r="K613" s="1"/>
  <c r="D614"/>
  <c r="L217"/>
  <c r="K217" s="1"/>
  <c r="J217"/>
  <c r="D218"/>
  <c r="C285" i="5"/>
  <c r="I284"/>
  <c r="B285"/>
  <c r="F416" i="2"/>
  <c r="F372"/>
  <c r="F394"/>
  <c r="F636"/>
  <c r="F96"/>
  <c r="L305"/>
  <c r="K305" s="1"/>
  <c r="J305"/>
  <c r="D306"/>
  <c r="L459"/>
  <c r="K459" s="1"/>
  <c r="J459"/>
  <c r="D460"/>
  <c r="F438"/>
  <c r="E284"/>
  <c r="G284" s="1"/>
  <c r="F526"/>
  <c r="E174"/>
  <c r="G174" s="1"/>
  <c r="F262"/>
  <c r="F570"/>
  <c r="J327"/>
  <c r="L327"/>
  <c r="K327" s="1"/>
  <c r="D328"/>
  <c r="F504"/>
  <c r="J547"/>
  <c r="L547"/>
  <c r="K547" s="1"/>
  <c r="D548"/>
  <c r="L48" i="1"/>
  <c r="K48" s="1"/>
  <c r="J48"/>
  <c r="D49"/>
  <c r="I284" i="2" l="1"/>
  <c r="H284"/>
  <c r="I174"/>
  <c r="H174"/>
  <c r="E570"/>
  <c r="G570" s="1"/>
  <c r="E372"/>
  <c r="G372"/>
  <c r="F240"/>
  <c r="E196"/>
  <c r="G196"/>
  <c r="C93" i="5"/>
  <c r="I94"/>
  <c r="B93"/>
  <c r="F306" i="2"/>
  <c r="E262"/>
  <c r="G262"/>
  <c r="E438"/>
  <c r="G438" s="1"/>
  <c r="E96"/>
  <c r="G96" s="1"/>
  <c r="E416"/>
  <c r="G416" s="1"/>
  <c r="F614"/>
  <c r="E592"/>
  <c r="G592" s="1"/>
  <c r="E504"/>
  <c r="G504" s="1"/>
  <c r="F460"/>
  <c r="E636"/>
  <c r="G636"/>
  <c r="C24" i="5"/>
  <c r="I23"/>
  <c r="B24"/>
  <c r="C284"/>
  <c r="I283"/>
  <c r="B284"/>
  <c r="F482" i="2"/>
  <c r="F350"/>
  <c r="F218"/>
  <c r="F548"/>
  <c r="F49" i="1"/>
  <c r="F328" i="2"/>
  <c r="E526"/>
  <c r="G526"/>
  <c r="E394"/>
  <c r="G394" s="1"/>
  <c r="C355" i="5"/>
  <c r="I356"/>
  <c r="B355"/>
  <c r="H394" i="2" l="1"/>
  <c r="I394"/>
  <c r="H416"/>
  <c r="I416"/>
  <c r="H504"/>
  <c r="I504"/>
  <c r="H570"/>
  <c r="I570"/>
  <c r="I96"/>
  <c r="H96"/>
  <c r="I592"/>
  <c r="H592"/>
  <c r="H438"/>
  <c r="I438"/>
  <c r="C356" i="5"/>
  <c r="I357"/>
  <c r="B356"/>
  <c r="C94"/>
  <c r="I95"/>
  <c r="B94"/>
  <c r="H372" i="2"/>
  <c r="I372"/>
  <c r="E49" i="1"/>
  <c r="G49" s="1"/>
  <c r="E482" i="2"/>
  <c r="G482" s="1"/>
  <c r="I196"/>
  <c r="H196"/>
  <c r="E548"/>
  <c r="G548" s="1"/>
  <c r="H636"/>
  <c r="I636"/>
  <c r="E614"/>
  <c r="G614" s="1"/>
  <c r="I262"/>
  <c r="H262"/>
  <c r="C23" i="5"/>
  <c r="I22"/>
  <c r="B23"/>
  <c r="H526" i="2"/>
  <c r="I526"/>
  <c r="C283" i="5"/>
  <c r="I282"/>
  <c r="B283"/>
  <c r="E460" i="2"/>
  <c r="G460"/>
  <c r="L174"/>
  <c r="K174" s="1"/>
  <c r="J174"/>
  <c r="D175"/>
  <c r="E218"/>
  <c r="G218" s="1"/>
  <c r="E306"/>
  <c r="G306" s="1"/>
  <c r="E240"/>
  <c r="G240"/>
  <c r="E328"/>
  <c r="G328" s="1"/>
  <c r="E350"/>
  <c r="G350" s="1"/>
  <c r="J284"/>
  <c r="L284"/>
  <c r="K284" s="1"/>
  <c r="D285"/>
  <c r="H306" l="1"/>
  <c r="I306"/>
  <c r="I328"/>
  <c r="H328"/>
  <c r="I218"/>
  <c r="H218"/>
  <c r="H548"/>
  <c r="I548"/>
  <c r="H614"/>
  <c r="I614"/>
  <c r="I350"/>
  <c r="H350"/>
  <c r="H482"/>
  <c r="I482"/>
  <c r="I49" i="1"/>
  <c r="H49"/>
  <c r="J372" i="2"/>
  <c r="L372"/>
  <c r="K372" s="1"/>
  <c r="D373"/>
  <c r="J570"/>
  <c r="L570"/>
  <c r="K570" s="1"/>
  <c r="D571"/>
  <c r="L438"/>
  <c r="K438" s="1"/>
  <c r="J438"/>
  <c r="D439"/>
  <c r="L504"/>
  <c r="K504" s="1"/>
  <c r="J504"/>
  <c r="D505"/>
  <c r="C22" i="5"/>
  <c r="I21"/>
  <c r="B22"/>
  <c r="C282"/>
  <c r="I281"/>
  <c r="B282"/>
  <c r="L262" i="2"/>
  <c r="K262" s="1"/>
  <c r="J262"/>
  <c r="D263"/>
  <c r="L196"/>
  <c r="K196" s="1"/>
  <c r="J196"/>
  <c r="D197"/>
  <c r="C95" i="5"/>
  <c r="I96"/>
  <c r="B95"/>
  <c r="L416" i="2"/>
  <c r="K416" s="1"/>
  <c r="J416"/>
  <c r="D417"/>
  <c r="F175"/>
  <c r="L526"/>
  <c r="K526" s="1"/>
  <c r="J526"/>
  <c r="D527"/>
  <c r="L592"/>
  <c r="K592" s="1"/>
  <c r="J592"/>
  <c r="D593"/>
  <c r="H460"/>
  <c r="I460"/>
  <c r="I240"/>
  <c r="H240"/>
  <c r="L394"/>
  <c r="K394" s="1"/>
  <c r="J394"/>
  <c r="D395"/>
  <c r="F285"/>
  <c r="L636"/>
  <c r="K636" s="1"/>
  <c r="J636"/>
  <c r="D637"/>
  <c r="C357" i="5"/>
  <c r="I358"/>
  <c r="B357"/>
  <c r="L96" i="2"/>
  <c r="K96" s="1"/>
  <c r="J96"/>
  <c r="D97"/>
  <c r="F263" l="1"/>
  <c r="C21" i="5"/>
  <c r="I20"/>
  <c r="B21"/>
  <c r="J49" i="1"/>
  <c r="L49"/>
  <c r="K49" s="1"/>
  <c r="D50"/>
  <c r="F593" i="2"/>
  <c r="F571"/>
  <c r="L482"/>
  <c r="K482" s="1"/>
  <c r="J482"/>
  <c r="D483"/>
  <c r="C358" i="5"/>
  <c r="I359"/>
  <c r="B358"/>
  <c r="F505" i="2"/>
  <c r="L218"/>
  <c r="K218" s="1"/>
  <c r="J218"/>
  <c r="D219"/>
  <c r="F417"/>
  <c r="J548"/>
  <c r="L548"/>
  <c r="K548" s="1"/>
  <c r="D549"/>
  <c r="F527"/>
  <c r="C96" i="5"/>
  <c r="I97"/>
  <c r="B96"/>
  <c r="F395" i="2"/>
  <c r="C281" i="5"/>
  <c r="I280"/>
  <c r="B281"/>
  <c r="F373" i="2"/>
  <c r="J350"/>
  <c r="L350"/>
  <c r="K350" s="1"/>
  <c r="D351"/>
  <c r="J328"/>
  <c r="L328"/>
  <c r="K328" s="1"/>
  <c r="D329"/>
  <c r="F637"/>
  <c r="E285"/>
  <c r="G285" s="1"/>
  <c r="J460"/>
  <c r="L460"/>
  <c r="K460" s="1"/>
  <c r="D461"/>
  <c r="E175"/>
  <c r="G175" s="1"/>
  <c r="F197"/>
  <c r="F439"/>
  <c r="L614"/>
  <c r="K614" s="1"/>
  <c r="J614"/>
  <c r="D615"/>
  <c r="L306"/>
  <c r="K306" s="1"/>
  <c r="J306"/>
  <c r="D307"/>
  <c r="F97"/>
  <c r="L240"/>
  <c r="K240" s="1"/>
  <c r="J240"/>
  <c r="D241"/>
  <c r="I285" l="1"/>
  <c r="H285"/>
  <c r="H175"/>
  <c r="I175"/>
  <c r="F615"/>
  <c r="F219"/>
  <c r="F461"/>
  <c r="C280" i="5"/>
  <c r="I279"/>
  <c r="B280"/>
  <c r="E527" i="2"/>
  <c r="G527" s="1"/>
  <c r="F483"/>
  <c r="F329"/>
  <c r="F351"/>
  <c r="E395"/>
  <c r="G395" s="1"/>
  <c r="F549"/>
  <c r="E505"/>
  <c r="G505" s="1"/>
  <c r="E571"/>
  <c r="G571" s="1"/>
  <c r="C20" i="5"/>
  <c r="I19"/>
  <c r="B20"/>
  <c r="E439" i="2"/>
  <c r="G439" s="1"/>
  <c r="E417"/>
  <c r="G417" s="1"/>
  <c r="E593"/>
  <c r="G593"/>
  <c r="E263"/>
  <c r="G263" s="1"/>
  <c r="F50" i="1"/>
  <c r="E97" i="2"/>
  <c r="G97" s="1"/>
  <c r="F307"/>
  <c r="E197"/>
  <c r="G197" s="1"/>
  <c r="E637"/>
  <c r="G637"/>
  <c r="E373"/>
  <c r="G373"/>
  <c r="F241"/>
  <c r="C97" i="5"/>
  <c r="I98"/>
  <c r="B97"/>
  <c r="C359"/>
  <c r="I360"/>
  <c r="B359"/>
  <c r="I439" i="2" l="1"/>
  <c r="H439"/>
  <c r="I395"/>
  <c r="H395"/>
  <c r="I527"/>
  <c r="H527"/>
  <c r="I417"/>
  <c r="H417"/>
  <c r="H263"/>
  <c r="I263"/>
  <c r="H197"/>
  <c r="I197"/>
  <c r="H97"/>
  <c r="I97"/>
  <c r="I571"/>
  <c r="H571"/>
  <c r="I505"/>
  <c r="H505"/>
  <c r="I373"/>
  <c r="H373"/>
  <c r="E219"/>
  <c r="G219"/>
  <c r="C360" i="5"/>
  <c r="I361"/>
  <c r="B360"/>
  <c r="E50" i="1"/>
  <c r="G50" s="1"/>
  <c r="E615" i="2"/>
  <c r="G615"/>
  <c r="E351"/>
  <c r="G351"/>
  <c r="I637"/>
  <c r="H637"/>
  <c r="C98" i="5"/>
  <c r="I99"/>
  <c r="B98"/>
  <c r="C279"/>
  <c r="I278"/>
  <c r="B279"/>
  <c r="J175" i="2"/>
  <c r="L175"/>
  <c r="K175" s="1"/>
  <c r="D176"/>
  <c r="E329"/>
  <c r="G329" s="1"/>
  <c r="E461"/>
  <c r="G461"/>
  <c r="E241"/>
  <c r="G241" s="1"/>
  <c r="E307"/>
  <c r="G307"/>
  <c r="I593"/>
  <c r="H593"/>
  <c r="C19" i="5"/>
  <c r="I18"/>
  <c r="B19"/>
  <c r="E549" i="2"/>
  <c r="G549"/>
  <c r="E483"/>
  <c r="G483" s="1"/>
  <c r="L285"/>
  <c r="K285" s="1"/>
  <c r="J285"/>
  <c r="D286"/>
  <c r="I483" l="1"/>
  <c r="H483"/>
  <c r="H241"/>
  <c r="I241"/>
  <c r="I329"/>
  <c r="H329"/>
  <c r="L571"/>
  <c r="K571" s="1"/>
  <c r="J571"/>
  <c r="D572"/>
  <c r="L417"/>
  <c r="K417" s="1"/>
  <c r="J417"/>
  <c r="D418"/>
  <c r="C361" i="5"/>
  <c r="I362"/>
  <c r="B361"/>
  <c r="J593" i="2"/>
  <c r="L593"/>
  <c r="K593" s="1"/>
  <c r="D594"/>
  <c r="I307"/>
  <c r="H307"/>
  <c r="I615"/>
  <c r="H615"/>
  <c r="L527"/>
  <c r="K527" s="1"/>
  <c r="J527"/>
  <c r="D528"/>
  <c r="L197"/>
  <c r="K197" s="1"/>
  <c r="J197"/>
  <c r="D198"/>
  <c r="C99" i="5"/>
  <c r="I100"/>
  <c r="B99"/>
  <c r="L97" i="2"/>
  <c r="K97" s="1"/>
  <c r="J97"/>
  <c r="D98"/>
  <c r="I549"/>
  <c r="H549"/>
  <c r="F176"/>
  <c r="J637"/>
  <c r="L637"/>
  <c r="K637" s="1"/>
  <c r="D638"/>
  <c r="L373"/>
  <c r="K373" s="1"/>
  <c r="J373"/>
  <c r="D374"/>
  <c r="L395"/>
  <c r="K395" s="1"/>
  <c r="J395"/>
  <c r="D396"/>
  <c r="I351"/>
  <c r="H351"/>
  <c r="H219"/>
  <c r="I219"/>
  <c r="F286"/>
  <c r="C18" i="5"/>
  <c r="I17"/>
  <c r="B18"/>
  <c r="I461" i="2"/>
  <c r="H461"/>
  <c r="I50" i="1"/>
  <c r="H50"/>
  <c r="J263" i="2"/>
  <c r="L263"/>
  <c r="K263" s="1"/>
  <c r="D264"/>
  <c r="C278" i="5"/>
  <c r="I277"/>
  <c r="B278"/>
  <c r="L505" i="2"/>
  <c r="K505" s="1"/>
  <c r="J505"/>
  <c r="D506"/>
  <c r="L439"/>
  <c r="K439" s="1"/>
  <c r="J439"/>
  <c r="D440"/>
  <c r="E286" l="1"/>
  <c r="G286" s="1"/>
  <c r="L219"/>
  <c r="K219" s="1"/>
  <c r="J219"/>
  <c r="D220"/>
  <c r="F198"/>
  <c r="F418"/>
  <c r="L329"/>
  <c r="K329" s="1"/>
  <c r="J329"/>
  <c r="D330"/>
  <c r="C100" i="5"/>
  <c r="I101"/>
  <c r="B100"/>
  <c r="J615" i="2"/>
  <c r="L615"/>
  <c r="K615" s="1"/>
  <c r="D616"/>
  <c r="F440"/>
  <c r="C277" i="5"/>
  <c r="I276"/>
  <c r="B277"/>
  <c r="L549" i="2"/>
  <c r="K549" s="1"/>
  <c r="J549"/>
  <c r="D550"/>
  <c r="L307"/>
  <c r="K307" s="1"/>
  <c r="J307"/>
  <c r="D308"/>
  <c r="L241"/>
  <c r="K241" s="1"/>
  <c r="J241"/>
  <c r="D242"/>
  <c r="C362" i="5"/>
  <c r="I363"/>
  <c r="B362"/>
  <c r="F374" i="2"/>
  <c r="L461"/>
  <c r="K461" s="1"/>
  <c r="J461"/>
  <c r="D462"/>
  <c r="F638"/>
  <c r="F98"/>
  <c r="F594"/>
  <c r="E176"/>
  <c r="G176"/>
  <c r="F264"/>
  <c r="L351"/>
  <c r="K351" s="1"/>
  <c r="J351"/>
  <c r="D352"/>
  <c r="F528"/>
  <c r="F572"/>
  <c r="J50" i="1"/>
  <c r="L50"/>
  <c r="K50" s="1"/>
  <c r="D51"/>
  <c r="F506" i="2"/>
  <c r="C17" i="5"/>
  <c r="I16"/>
  <c r="B17"/>
  <c r="F396" i="2"/>
  <c r="L483"/>
  <c r="K483" s="1"/>
  <c r="J483"/>
  <c r="D484"/>
  <c r="I286" l="1"/>
  <c r="H286"/>
  <c r="E594"/>
  <c r="G594" s="1"/>
  <c r="E198"/>
  <c r="G198" s="1"/>
  <c r="F51" i="1"/>
  <c r="E374" i="2"/>
  <c r="G374" s="1"/>
  <c r="C276" i="5"/>
  <c r="I275"/>
  <c r="B276"/>
  <c r="C101"/>
  <c r="I102"/>
  <c r="B101"/>
  <c r="F308" i="2"/>
  <c r="F220"/>
  <c r="E264"/>
  <c r="G264" s="1"/>
  <c r="E440"/>
  <c r="G440" s="1"/>
  <c r="F330"/>
  <c r="C16" i="5"/>
  <c r="I15"/>
  <c r="B16"/>
  <c r="E572" i="2"/>
  <c r="G572" s="1"/>
  <c r="E638"/>
  <c r="G638"/>
  <c r="C363" i="5"/>
  <c r="I364"/>
  <c r="B363"/>
  <c r="I176" i="2"/>
  <c r="H176"/>
  <c r="F550"/>
  <c r="F616"/>
  <c r="F352"/>
  <c r="E98"/>
  <c r="G98" s="1"/>
  <c r="F484"/>
  <c r="E506"/>
  <c r="G506"/>
  <c r="E528"/>
  <c r="G528" s="1"/>
  <c r="F462"/>
  <c r="E418"/>
  <c r="G418"/>
  <c r="E396"/>
  <c r="G396" s="1"/>
  <c r="F242"/>
  <c r="H572" l="1"/>
  <c r="I572"/>
  <c r="I528"/>
  <c r="H528"/>
  <c r="H440"/>
  <c r="I440"/>
  <c r="I264"/>
  <c r="H264"/>
  <c r="H594"/>
  <c r="I594"/>
  <c r="H374"/>
  <c r="I374"/>
  <c r="I198"/>
  <c r="H198"/>
  <c r="H396"/>
  <c r="I396"/>
  <c r="E51" i="1"/>
  <c r="G51" s="1"/>
  <c r="E352" i="2"/>
  <c r="G352" s="1"/>
  <c r="C102" i="5"/>
  <c r="I103"/>
  <c r="B102"/>
  <c r="I98" i="2"/>
  <c r="H98"/>
  <c r="C15" i="5"/>
  <c r="I14"/>
  <c r="B15"/>
  <c r="L176" i="2"/>
  <c r="K176" s="1"/>
  <c r="J176"/>
  <c r="D177"/>
  <c r="E616"/>
  <c r="G616" s="1"/>
  <c r="E330"/>
  <c r="G330"/>
  <c r="E220"/>
  <c r="G220"/>
  <c r="C275" i="5"/>
  <c r="I274"/>
  <c r="B275"/>
  <c r="H506" i="2"/>
  <c r="I506"/>
  <c r="H418"/>
  <c r="I418"/>
  <c r="E484"/>
  <c r="G484" s="1"/>
  <c r="E550"/>
  <c r="G550" s="1"/>
  <c r="H638"/>
  <c r="I638"/>
  <c r="E242"/>
  <c r="G242"/>
  <c r="C364" i="5"/>
  <c r="I365"/>
  <c r="B364"/>
  <c r="E308" i="2"/>
  <c r="G308" s="1"/>
  <c r="E462"/>
  <c r="G462" s="1"/>
  <c r="L286"/>
  <c r="K286" s="1"/>
  <c r="J286"/>
  <c r="D287"/>
  <c r="H616" l="1"/>
  <c r="I616"/>
  <c r="H462"/>
  <c r="I462"/>
  <c r="I308"/>
  <c r="H308"/>
  <c r="H484"/>
  <c r="I484"/>
  <c r="H352"/>
  <c r="I352"/>
  <c r="H550"/>
  <c r="I550"/>
  <c r="I51" i="1"/>
  <c r="H51"/>
  <c r="J264" i="2"/>
  <c r="L264"/>
  <c r="K264" s="1"/>
  <c r="D265"/>
  <c r="J396"/>
  <c r="L396"/>
  <c r="K396" s="1"/>
  <c r="D397"/>
  <c r="L638"/>
  <c r="K638" s="1"/>
  <c r="J638"/>
  <c r="D639"/>
  <c r="L440"/>
  <c r="K440" s="1"/>
  <c r="J440"/>
  <c r="D441"/>
  <c r="L506"/>
  <c r="K506" s="1"/>
  <c r="J506"/>
  <c r="D507"/>
  <c r="H330"/>
  <c r="I330"/>
  <c r="C14" i="5"/>
  <c r="I13"/>
  <c r="B14"/>
  <c r="J198" i="2"/>
  <c r="L198"/>
  <c r="K198" s="1"/>
  <c r="D199"/>
  <c r="J374"/>
  <c r="L374"/>
  <c r="K374" s="1"/>
  <c r="D375"/>
  <c r="I220"/>
  <c r="H220"/>
  <c r="L528"/>
  <c r="K528" s="1"/>
  <c r="J528"/>
  <c r="D529"/>
  <c r="L418"/>
  <c r="K418" s="1"/>
  <c r="J418"/>
  <c r="D419"/>
  <c r="C103" i="5"/>
  <c r="I104"/>
  <c r="B103"/>
  <c r="F287" i="2"/>
  <c r="C365" i="5"/>
  <c r="I366"/>
  <c r="B365"/>
  <c r="C274"/>
  <c r="I273"/>
  <c r="B274"/>
  <c r="F177" i="2"/>
  <c r="J98"/>
  <c r="L98"/>
  <c r="K98" s="1"/>
  <c r="D99"/>
  <c r="J594"/>
  <c r="L594"/>
  <c r="K594" s="1"/>
  <c r="D595"/>
  <c r="J572"/>
  <c r="L572"/>
  <c r="K572" s="1"/>
  <c r="D573"/>
  <c r="I242"/>
  <c r="H242"/>
  <c r="E177" l="1"/>
  <c r="G177" s="1"/>
  <c r="J484"/>
  <c r="L484"/>
  <c r="K484" s="1"/>
  <c r="D485"/>
  <c r="F529"/>
  <c r="F639"/>
  <c r="F199"/>
  <c r="F507"/>
  <c r="L51" i="1"/>
  <c r="K51" s="1"/>
  <c r="J51"/>
  <c r="D52"/>
  <c r="L308" i="2"/>
  <c r="K308" s="1"/>
  <c r="J308"/>
  <c r="D309"/>
  <c r="E287"/>
  <c r="G287" s="1"/>
  <c r="F595"/>
  <c r="C104" i="5"/>
  <c r="I105"/>
  <c r="B104"/>
  <c r="F397" i="2"/>
  <c r="L550"/>
  <c r="K550" s="1"/>
  <c r="J550"/>
  <c r="D551"/>
  <c r="L462"/>
  <c r="K462" s="1"/>
  <c r="J462"/>
  <c r="D463"/>
  <c r="F441"/>
  <c r="L330"/>
  <c r="K330" s="1"/>
  <c r="J330"/>
  <c r="D331"/>
  <c r="L242"/>
  <c r="K242" s="1"/>
  <c r="J242"/>
  <c r="D243"/>
  <c r="C366" i="5"/>
  <c r="I367"/>
  <c r="B366"/>
  <c r="F419" i="2"/>
  <c r="L220"/>
  <c r="K220" s="1"/>
  <c r="J220"/>
  <c r="D221"/>
  <c r="C13" i="5"/>
  <c r="I12"/>
  <c r="B13"/>
  <c r="L352" i="2"/>
  <c r="K352" s="1"/>
  <c r="J352"/>
  <c r="D353"/>
  <c r="L616"/>
  <c r="K616" s="1"/>
  <c r="J616"/>
  <c r="D617"/>
  <c r="C273" i="5"/>
  <c r="I272"/>
  <c r="B273"/>
  <c r="F99" i="2"/>
  <c r="F573"/>
  <c r="F375"/>
  <c r="F265"/>
  <c r="H287" l="1"/>
  <c r="I287"/>
  <c r="H177"/>
  <c r="I177"/>
  <c r="E441"/>
  <c r="G441" s="1"/>
  <c r="E529"/>
  <c r="G529"/>
  <c r="F221"/>
  <c r="F243"/>
  <c r="E397"/>
  <c r="G397" s="1"/>
  <c r="E507"/>
  <c r="G507"/>
  <c r="C367" i="5"/>
  <c r="I368"/>
  <c r="B367"/>
  <c r="F617" i="2"/>
  <c r="F309"/>
  <c r="F485"/>
  <c r="E375"/>
  <c r="G375" s="1"/>
  <c r="E99"/>
  <c r="G99" s="1"/>
  <c r="F353"/>
  <c r="F463"/>
  <c r="E199"/>
  <c r="G199" s="1"/>
  <c r="E573"/>
  <c r="G573" s="1"/>
  <c r="E419"/>
  <c r="G419" s="1"/>
  <c r="C105" i="5"/>
  <c r="I106"/>
  <c r="B105"/>
  <c r="C12"/>
  <c r="I11"/>
  <c r="B12"/>
  <c r="E265" i="2"/>
  <c r="G265" s="1"/>
  <c r="F331"/>
  <c r="F52" i="1"/>
  <c r="C272" i="5"/>
  <c r="I271"/>
  <c r="B272"/>
  <c r="F551" i="2"/>
  <c r="E595"/>
  <c r="G595" s="1"/>
  <c r="E639"/>
  <c r="G639" s="1"/>
  <c r="I265" l="1"/>
  <c r="H265"/>
  <c r="I639"/>
  <c r="H639"/>
  <c r="I573"/>
  <c r="H573"/>
  <c r="I375"/>
  <c r="H375"/>
  <c r="H199"/>
  <c r="I199"/>
  <c r="H99"/>
  <c r="I99"/>
  <c r="I397"/>
  <c r="H397"/>
  <c r="I595"/>
  <c r="H595"/>
  <c r="I441"/>
  <c r="H441"/>
  <c r="I419"/>
  <c r="H419"/>
  <c r="C271" i="5"/>
  <c r="I270"/>
  <c r="B271"/>
  <c r="E353" i="2"/>
  <c r="G353" s="1"/>
  <c r="E309"/>
  <c r="G309" s="1"/>
  <c r="E617"/>
  <c r="G617" s="1"/>
  <c r="I507"/>
  <c r="H507"/>
  <c r="E551"/>
  <c r="G551"/>
  <c r="E243"/>
  <c r="G243" s="1"/>
  <c r="L177"/>
  <c r="K177" s="1"/>
  <c r="J177"/>
  <c r="D178"/>
  <c r="C11" i="5"/>
  <c r="I10"/>
  <c r="B11"/>
  <c r="I529" i="2"/>
  <c r="H529"/>
  <c r="E331"/>
  <c r="G331"/>
  <c r="C368" i="5"/>
  <c r="I369"/>
  <c r="B368"/>
  <c r="E221" i="2"/>
  <c r="G221"/>
  <c r="J287"/>
  <c r="L287"/>
  <c r="K287" s="1"/>
  <c r="D288"/>
  <c r="E52" i="1"/>
  <c r="G52" s="1"/>
  <c r="C106" i="5"/>
  <c r="I107"/>
  <c r="B106"/>
  <c r="E463" i="2"/>
  <c r="G463" s="1"/>
  <c r="E485"/>
  <c r="G485"/>
  <c r="I353" l="1"/>
  <c r="H353"/>
  <c r="I463"/>
  <c r="H463"/>
  <c r="I52" i="1"/>
  <c r="H52"/>
  <c r="I617" i="2"/>
  <c r="H617"/>
  <c r="H243"/>
  <c r="I243"/>
  <c r="I309"/>
  <c r="H309"/>
  <c r="F288"/>
  <c r="F178"/>
  <c r="L507"/>
  <c r="K507" s="1"/>
  <c r="J507"/>
  <c r="D508"/>
  <c r="L595"/>
  <c r="K595" s="1"/>
  <c r="J595"/>
  <c r="D596"/>
  <c r="L375"/>
  <c r="K375" s="1"/>
  <c r="J375"/>
  <c r="D376"/>
  <c r="C270" i="5"/>
  <c r="I269"/>
  <c r="B270"/>
  <c r="I331" i="2"/>
  <c r="H331"/>
  <c r="L397"/>
  <c r="K397" s="1"/>
  <c r="J397"/>
  <c r="D398"/>
  <c r="L573"/>
  <c r="K573" s="1"/>
  <c r="J573"/>
  <c r="D574"/>
  <c r="J99"/>
  <c r="L99"/>
  <c r="K99" s="1"/>
  <c r="D100"/>
  <c r="J529"/>
  <c r="L529"/>
  <c r="K529" s="1"/>
  <c r="D530"/>
  <c r="L419"/>
  <c r="K419" s="1"/>
  <c r="J419"/>
  <c r="D420"/>
  <c r="L639"/>
  <c r="K639" s="1"/>
  <c r="J639"/>
  <c r="D640"/>
  <c r="I485"/>
  <c r="H485"/>
  <c r="C369" i="5"/>
  <c r="I370"/>
  <c r="B369"/>
  <c r="I551" i="2"/>
  <c r="H551"/>
  <c r="J199"/>
  <c r="L199"/>
  <c r="K199" s="1"/>
  <c r="D200"/>
  <c r="C107" i="5"/>
  <c r="I108"/>
  <c r="B107"/>
  <c r="H221" i="2"/>
  <c r="I221"/>
  <c r="C10" i="5"/>
  <c r="I9"/>
  <c r="B10"/>
  <c r="L441" i="2"/>
  <c r="K441" s="1"/>
  <c r="J441"/>
  <c r="D442"/>
  <c r="L265"/>
  <c r="K265" s="1"/>
  <c r="J265"/>
  <c r="D266"/>
  <c r="C108" i="5" l="1"/>
  <c r="I109"/>
  <c r="B108"/>
  <c r="C370"/>
  <c r="I371"/>
  <c r="B370"/>
  <c r="L331" i="2"/>
  <c r="K331" s="1"/>
  <c r="J331"/>
  <c r="D332"/>
  <c r="F596"/>
  <c r="L617"/>
  <c r="K617" s="1"/>
  <c r="J617"/>
  <c r="D618"/>
  <c r="F574"/>
  <c r="E288"/>
  <c r="G288"/>
  <c r="C269" i="5"/>
  <c r="B269"/>
  <c r="L52" i="1"/>
  <c r="K52" s="1"/>
  <c r="J52"/>
  <c r="D53"/>
  <c r="E178" i="2"/>
  <c r="G178" s="1"/>
  <c r="L485"/>
  <c r="K485" s="1"/>
  <c r="J485"/>
  <c r="D486"/>
  <c r="F530"/>
  <c r="F420"/>
  <c r="F200"/>
  <c r="C9" i="5"/>
  <c r="I8"/>
  <c r="B9"/>
  <c r="F266" i="2"/>
  <c r="L221"/>
  <c r="K221" s="1"/>
  <c r="J221"/>
  <c r="D222"/>
  <c r="F640"/>
  <c r="F398"/>
  <c r="F508"/>
  <c r="L309"/>
  <c r="K309" s="1"/>
  <c r="J309"/>
  <c r="D310"/>
  <c r="L463"/>
  <c r="K463" s="1"/>
  <c r="J463"/>
  <c r="D464"/>
  <c r="L551"/>
  <c r="K551" s="1"/>
  <c r="J551"/>
  <c r="D552"/>
  <c r="F376"/>
  <c r="L243"/>
  <c r="K243" s="1"/>
  <c r="J243"/>
  <c r="D244"/>
  <c r="F442"/>
  <c r="F100"/>
  <c r="L353"/>
  <c r="K353" s="1"/>
  <c r="J353"/>
  <c r="D354"/>
  <c r="I178" l="1"/>
  <c r="H178"/>
  <c r="F53" i="1"/>
  <c r="E376" i="2"/>
  <c r="G376" s="1"/>
  <c r="E640"/>
  <c r="G640" s="1"/>
  <c r="C8" i="5"/>
  <c r="B8"/>
  <c r="F486" i="2"/>
  <c r="F618"/>
  <c r="F310"/>
  <c r="C371" i="5"/>
  <c r="I372"/>
  <c r="B371"/>
  <c r="E398" i="2"/>
  <c r="G398"/>
  <c r="E574"/>
  <c r="G574" s="1"/>
  <c r="E200"/>
  <c r="G200" s="1"/>
  <c r="E442"/>
  <c r="G442"/>
  <c r="I288"/>
  <c r="H288"/>
  <c r="E596"/>
  <c r="G596" s="1"/>
  <c r="F464"/>
  <c r="F552"/>
  <c r="E420"/>
  <c r="G420" s="1"/>
  <c r="C109" i="5"/>
  <c r="I110"/>
  <c r="B109"/>
  <c r="E530" i="2"/>
  <c r="G530"/>
  <c r="E100"/>
  <c r="G100" s="1"/>
  <c r="F222"/>
  <c r="E508"/>
  <c r="G508" s="1"/>
  <c r="F354"/>
  <c r="F244"/>
  <c r="E266"/>
  <c r="G266" s="1"/>
  <c r="F332"/>
  <c r="H574" l="1"/>
  <c r="I574"/>
  <c r="H596"/>
  <c r="I596"/>
  <c r="H266"/>
  <c r="I266"/>
  <c r="I100"/>
  <c r="H100"/>
  <c r="H376"/>
  <c r="I376"/>
  <c r="H640"/>
  <c r="I640"/>
  <c r="H508"/>
  <c r="I508"/>
  <c r="H420"/>
  <c r="I420"/>
  <c r="I200"/>
  <c r="H200"/>
  <c r="E552"/>
  <c r="G552" s="1"/>
  <c r="J288"/>
  <c r="L288"/>
  <c r="K288" s="1"/>
  <c r="D289"/>
  <c r="E618"/>
  <c r="G618" s="1"/>
  <c r="E354"/>
  <c r="G354"/>
  <c r="H442"/>
  <c r="I442"/>
  <c r="E464"/>
  <c r="G464"/>
  <c r="C372" i="5"/>
  <c r="I373"/>
  <c r="B372"/>
  <c r="E486" i="2"/>
  <c r="G486" s="1"/>
  <c r="E53" i="1"/>
  <c r="G53" s="1"/>
  <c r="H398" i="2"/>
  <c r="I398"/>
  <c r="E332"/>
  <c r="G332"/>
  <c r="H530"/>
  <c r="I530"/>
  <c r="C110" i="5"/>
  <c r="I111"/>
  <c r="B110"/>
  <c r="E222" i="2"/>
  <c r="G222" s="1"/>
  <c r="E310"/>
  <c r="G310" s="1"/>
  <c r="E244"/>
  <c r="G244"/>
  <c r="L178"/>
  <c r="K178" s="1"/>
  <c r="J178"/>
  <c r="D179"/>
  <c r="I222" l="1"/>
  <c r="H222"/>
  <c r="I310"/>
  <c r="H310"/>
  <c r="I552"/>
  <c r="H552"/>
  <c r="H618"/>
  <c r="I618"/>
  <c r="I53" i="1"/>
  <c r="H53"/>
  <c r="H486" i="2"/>
  <c r="I486"/>
  <c r="F289"/>
  <c r="L100"/>
  <c r="K100" s="1"/>
  <c r="J100"/>
  <c r="D101"/>
  <c r="J508"/>
  <c r="L508"/>
  <c r="K508" s="1"/>
  <c r="D509"/>
  <c r="L266"/>
  <c r="K266" s="1"/>
  <c r="J266"/>
  <c r="D267"/>
  <c r="L442"/>
  <c r="K442" s="1"/>
  <c r="J442"/>
  <c r="D443"/>
  <c r="J530"/>
  <c r="L530"/>
  <c r="K530" s="1"/>
  <c r="D531"/>
  <c r="L640"/>
  <c r="K640" s="1"/>
  <c r="J640"/>
  <c r="D641"/>
  <c r="J596"/>
  <c r="L596"/>
  <c r="K596" s="1"/>
  <c r="D597"/>
  <c r="H464"/>
  <c r="I464"/>
  <c r="F179"/>
  <c r="I354"/>
  <c r="H354"/>
  <c r="I244"/>
  <c r="H244"/>
  <c r="I332"/>
  <c r="H332"/>
  <c r="C373" i="5"/>
  <c r="I374"/>
  <c r="B373"/>
  <c r="L376" i="2"/>
  <c r="K376" s="1"/>
  <c r="J376"/>
  <c r="D377"/>
  <c r="L574"/>
  <c r="K574" s="1"/>
  <c r="J574"/>
  <c r="D575"/>
  <c r="J420"/>
  <c r="L420"/>
  <c r="K420" s="1"/>
  <c r="D421"/>
  <c r="C111" i="5"/>
  <c r="I112"/>
  <c r="B111"/>
  <c r="L398" i="2"/>
  <c r="K398" s="1"/>
  <c r="J398"/>
  <c r="D399"/>
  <c r="L200"/>
  <c r="K200" s="1"/>
  <c r="J200"/>
  <c r="D201"/>
  <c r="F641" l="1"/>
  <c r="E179"/>
  <c r="G179" s="1"/>
  <c r="F267"/>
  <c r="F575"/>
  <c r="E289"/>
  <c r="G289" s="1"/>
  <c r="L332"/>
  <c r="K332" s="1"/>
  <c r="J332"/>
  <c r="D333"/>
  <c r="L464"/>
  <c r="K464" s="1"/>
  <c r="J464"/>
  <c r="D465"/>
  <c r="F531"/>
  <c r="L552"/>
  <c r="K552" s="1"/>
  <c r="J552"/>
  <c r="D553"/>
  <c r="F377"/>
  <c r="F509"/>
  <c r="L486"/>
  <c r="K486" s="1"/>
  <c r="J486"/>
  <c r="D487"/>
  <c r="C374" i="5"/>
  <c r="I375"/>
  <c r="B374"/>
  <c r="C112"/>
  <c r="I113"/>
  <c r="B112"/>
  <c r="J244" i="2"/>
  <c r="L244"/>
  <c r="K244" s="1"/>
  <c r="D245"/>
  <c r="F597"/>
  <c r="L310"/>
  <c r="K310" s="1"/>
  <c r="J310"/>
  <c r="D311"/>
  <c r="F201"/>
  <c r="F421"/>
  <c r="F443"/>
  <c r="J618"/>
  <c r="L618"/>
  <c r="K618" s="1"/>
  <c r="D619"/>
  <c r="F399"/>
  <c r="J354"/>
  <c r="L354"/>
  <c r="K354" s="1"/>
  <c r="D355"/>
  <c r="F101"/>
  <c r="J53" i="1"/>
  <c r="L53"/>
  <c r="K53" s="1"/>
  <c r="D54"/>
  <c r="L222" i="2"/>
  <c r="K222" s="1"/>
  <c r="J222"/>
  <c r="D223"/>
  <c r="I289" l="1"/>
  <c r="H289"/>
  <c r="H179"/>
  <c r="I179"/>
  <c r="F465"/>
  <c r="E597"/>
  <c r="G597"/>
  <c r="E377"/>
  <c r="G377" s="1"/>
  <c r="E399"/>
  <c r="G399" s="1"/>
  <c r="C375" i="5"/>
  <c r="I376"/>
  <c r="B375"/>
  <c r="E267" i="2"/>
  <c r="G267"/>
  <c r="F245"/>
  <c r="F553"/>
  <c r="F333"/>
  <c r="F54" i="1"/>
  <c r="E421" i="2"/>
  <c r="G421" s="1"/>
  <c r="E201"/>
  <c r="G201" s="1"/>
  <c r="E101"/>
  <c r="G101" s="1"/>
  <c r="F619"/>
  <c r="F487"/>
  <c r="E575"/>
  <c r="G575" s="1"/>
  <c r="F223"/>
  <c r="F355"/>
  <c r="F311"/>
  <c r="E531"/>
  <c r="G531" s="1"/>
  <c r="E641"/>
  <c r="G641" s="1"/>
  <c r="E443"/>
  <c r="G443" s="1"/>
  <c r="C113" i="5"/>
  <c r="I114"/>
  <c r="B113"/>
  <c r="E509" i="2"/>
  <c r="G509" s="1"/>
  <c r="I531" l="1"/>
  <c r="H531"/>
  <c r="I641"/>
  <c r="H641"/>
  <c r="I421"/>
  <c r="H421"/>
  <c r="H575"/>
  <c r="I575"/>
  <c r="H101"/>
  <c r="I101"/>
  <c r="I509"/>
  <c r="H509"/>
  <c r="H377"/>
  <c r="I377"/>
  <c r="I443"/>
  <c r="H443"/>
  <c r="H201"/>
  <c r="I201"/>
  <c r="I399"/>
  <c r="H399"/>
  <c r="C376" i="5"/>
  <c r="I377"/>
  <c r="B376"/>
  <c r="I597" i="2"/>
  <c r="H597"/>
  <c r="E553"/>
  <c r="G553" s="1"/>
  <c r="E465"/>
  <c r="G465" s="1"/>
  <c r="E223"/>
  <c r="G223"/>
  <c r="E333"/>
  <c r="G333" s="1"/>
  <c r="E311"/>
  <c r="G311" s="1"/>
  <c r="E487"/>
  <c r="G487" s="1"/>
  <c r="E245"/>
  <c r="G245" s="1"/>
  <c r="L179"/>
  <c r="K179" s="1"/>
  <c r="J179"/>
  <c r="D180"/>
  <c r="C114" i="5"/>
  <c r="I115"/>
  <c r="B114"/>
  <c r="E355" i="2"/>
  <c r="G355" s="1"/>
  <c r="E619"/>
  <c r="G619"/>
  <c r="E54" i="1"/>
  <c r="G54" s="1"/>
  <c r="H267" i="2"/>
  <c r="I267"/>
  <c r="L289"/>
  <c r="K289" s="1"/>
  <c r="J289"/>
  <c r="D290"/>
  <c r="I487" l="1"/>
  <c r="H487"/>
  <c r="I465"/>
  <c r="H465"/>
  <c r="I311"/>
  <c r="H311"/>
  <c r="I553"/>
  <c r="H553"/>
  <c r="I355"/>
  <c r="H355"/>
  <c r="I333"/>
  <c r="H333"/>
  <c r="I54" i="1"/>
  <c r="H54"/>
  <c r="I245" i="2"/>
  <c r="H245"/>
  <c r="H223"/>
  <c r="I223"/>
  <c r="J443"/>
  <c r="L443"/>
  <c r="K443" s="1"/>
  <c r="D444"/>
  <c r="C377" i="5"/>
  <c r="I378"/>
  <c r="B377"/>
  <c r="L377" i="2"/>
  <c r="K377" s="1"/>
  <c r="J377"/>
  <c r="D378"/>
  <c r="C115" i="5"/>
  <c r="I116"/>
  <c r="B115"/>
  <c r="L421" i="2"/>
  <c r="K421" s="1"/>
  <c r="J421"/>
  <c r="D422"/>
  <c r="J575"/>
  <c r="L575"/>
  <c r="K575" s="1"/>
  <c r="D576"/>
  <c r="J399"/>
  <c r="L399"/>
  <c r="K399" s="1"/>
  <c r="D400"/>
  <c r="L509"/>
  <c r="K509" s="1"/>
  <c r="J509"/>
  <c r="D510"/>
  <c r="L641"/>
  <c r="K641" s="1"/>
  <c r="J641"/>
  <c r="D642"/>
  <c r="L597"/>
  <c r="K597" s="1"/>
  <c r="J597"/>
  <c r="D598"/>
  <c r="L267"/>
  <c r="K267" s="1"/>
  <c r="J267"/>
  <c r="D268"/>
  <c r="F290"/>
  <c r="L201"/>
  <c r="K201" s="1"/>
  <c r="J201"/>
  <c r="D202"/>
  <c r="L101"/>
  <c r="K101" s="1"/>
  <c r="J101"/>
  <c r="D102"/>
  <c r="I619"/>
  <c r="H619"/>
  <c r="F180"/>
  <c r="L531"/>
  <c r="K531" s="1"/>
  <c r="J531"/>
  <c r="D532"/>
  <c r="E290" l="1"/>
  <c r="G290" s="1"/>
  <c r="F642"/>
  <c r="C116" i="5"/>
  <c r="I117"/>
  <c r="B116"/>
  <c r="L245" i="2"/>
  <c r="K245" s="1"/>
  <c r="J245"/>
  <c r="D246"/>
  <c r="J553"/>
  <c r="L553"/>
  <c r="K553" s="1"/>
  <c r="D554"/>
  <c r="F576"/>
  <c r="F444"/>
  <c r="J54" i="1"/>
  <c r="L54"/>
  <c r="K54" s="1"/>
  <c r="D55"/>
  <c r="J311" i="2"/>
  <c r="L311"/>
  <c r="K311" s="1"/>
  <c r="D312"/>
  <c r="C378" i="5"/>
  <c r="I379"/>
  <c r="B378"/>
  <c r="F102" i="2"/>
  <c r="F510"/>
  <c r="F378"/>
  <c r="F422"/>
  <c r="L333"/>
  <c r="K333" s="1"/>
  <c r="J333"/>
  <c r="D334"/>
  <c r="L465"/>
  <c r="K465" s="1"/>
  <c r="J465"/>
  <c r="D466"/>
  <c r="J619"/>
  <c r="L619"/>
  <c r="K619" s="1"/>
  <c r="D620"/>
  <c r="F532"/>
  <c r="F202"/>
  <c r="F598"/>
  <c r="J223"/>
  <c r="L223"/>
  <c r="K223" s="1"/>
  <c r="D224"/>
  <c r="F268"/>
  <c r="E180"/>
  <c r="G180" s="1"/>
  <c r="F400"/>
  <c r="L355"/>
  <c r="K355" s="1"/>
  <c r="J355"/>
  <c r="D356"/>
  <c r="J487"/>
  <c r="L487"/>
  <c r="K487" s="1"/>
  <c r="D488"/>
  <c r="I180" l="1"/>
  <c r="H180"/>
  <c r="H290"/>
  <c r="I290"/>
  <c r="E202"/>
  <c r="G202" s="1"/>
  <c r="E576"/>
  <c r="G576"/>
  <c r="F356"/>
  <c r="E510"/>
  <c r="G510"/>
  <c r="E532"/>
  <c r="G532"/>
  <c r="F334"/>
  <c r="C117" i="5"/>
  <c r="I118"/>
  <c r="B117"/>
  <c r="E268" i="2"/>
  <c r="G268" s="1"/>
  <c r="F224"/>
  <c r="E102"/>
  <c r="G102" s="1"/>
  <c r="F55" i="1"/>
  <c r="F554" i="2"/>
  <c r="E642"/>
  <c r="G642" s="1"/>
  <c r="F312"/>
  <c r="F620"/>
  <c r="E400"/>
  <c r="G400"/>
  <c r="E422"/>
  <c r="G422" s="1"/>
  <c r="F488"/>
  <c r="E598"/>
  <c r="G598" s="1"/>
  <c r="C379" i="5"/>
  <c r="I380"/>
  <c r="B379"/>
  <c r="F246" i="2"/>
  <c r="F466"/>
  <c r="E378"/>
  <c r="G378" s="1"/>
  <c r="E444"/>
  <c r="G444" s="1"/>
  <c r="H598" l="1"/>
  <c r="I598"/>
  <c r="I202"/>
  <c r="H202"/>
  <c r="I102"/>
  <c r="H102"/>
  <c r="H422"/>
  <c r="I422"/>
  <c r="H642"/>
  <c r="I642"/>
  <c r="H444"/>
  <c r="I444"/>
  <c r="I378"/>
  <c r="H378"/>
  <c r="I268"/>
  <c r="H268"/>
  <c r="H532"/>
  <c r="I532"/>
  <c r="E554"/>
  <c r="G554" s="1"/>
  <c r="E620"/>
  <c r="G620" s="1"/>
  <c r="E466"/>
  <c r="G466"/>
  <c r="L290"/>
  <c r="K290" s="1"/>
  <c r="J290"/>
  <c r="D291"/>
  <c r="F291" s="1"/>
  <c r="E488"/>
  <c r="G488" s="1"/>
  <c r="E312"/>
  <c r="G312"/>
  <c r="C118" i="5"/>
  <c r="I119"/>
  <c r="B118"/>
  <c r="E356" i="2"/>
  <c r="G356"/>
  <c r="E224"/>
  <c r="G224"/>
  <c r="H576"/>
  <c r="I576"/>
  <c r="H400"/>
  <c r="I400"/>
  <c r="H510"/>
  <c r="I510"/>
  <c r="C380" i="5"/>
  <c r="I381"/>
  <c r="B380"/>
  <c r="E55" i="1"/>
  <c r="G55" s="1"/>
  <c r="E246" i="2"/>
  <c r="G246" s="1"/>
  <c r="E334"/>
  <c r="G334"/>
  <c r="L180"/>
  <c r="K180" s="1"/>
  <c r="J180"/>
  <c r="D181"/>
  <c r="F181" s="1"/>
  <c r="H554" l="1"/>
  <c r="I554"/>
  <c r="I55" i="1"/>
  <c r="H55"/>
  <c r="H488" i="2"/>
  <c r="I488"/>
  <c r="I246"/>
  <c r="H246"/>
  <c r="H620"/>
  <c r="I620"/>
  <c r="J268"/>
  <c r="L268"/>
  <c r="K268" s="1"/>
  <c r="D269"/>
  <c r="F269" s="1"/>
  <c r="L510"/>
  <c r="K510" s="1"/>
  <c r="J510"/>
  <c r="D511"/>
  <c r="F511" s="1"/>
  <c r="I224"/>
  <c r="H224"/>
  <c r="L378"/>
  <c r="K378" s="1"/>
  <c r="J378"/>
  <c r="D379"/>
  <c r="F379" s="1"/>
  <c r="L102"/>
  <c r="K102" s="1"/>
  <c r="J102"/>
  <c r="D103"/>
  <c r="F103" s="1"/>
  <c r="H466"/>
  <c r="I466"/>
  <c r="I334"/>
  <c r="H334"/>
  <c r="J444"/>
  <c r="L444"/>
  <c r="K444" s="1"/>
  <c r="D445"/>
  <c r="F445" s="1"/>
  <c r="I312"/>
  <c r="H312"/>
  <c r="E291"/>
  <c r="G291" s="1"/>
  <c r="L202"/>
  <c r="K202" s="1"/>
  <c r="J202"/>
  <c r="D203"/>
  <c r="F203" s="1"/>
  <c r="C381" i="5"/>
  <c r="I382"/>
  <c r="B381"/>
  <c r="L422" i="2"/>
  <c r="K422" s="1"/>
  <c r="J422"/>
  <c r="D423"/>
  <c r="F423" s="1"/>
  <c r="H356"/>
  <c r="I356"/>
  <c r="E181"/>
  <c r="G181" s="1"/>
  <c r="L576"/>
  <c r="K576" s="1"/>
  <c r="J576"/>
  <c r="D577"/>
  <c r="F577" s="1"/>
  <c r="C119" i="5"/>
  <c r="I120"/>
  <c r="B119"/>
  <c r="J532" i="2"/>
  <c r="L532"/>
  <c r="K532" s="1"/>
  <c r="D533"/>
  <c r="F533" s="1"/>
  <c r="J642"/>
  <c r="L642"/>
  <c r="K642" s="1"/>
  <c r="D643"/>
  <c r="F643" s="1"/>
  <c r="L598"/>
  <c r="K598" s="1"/>
  <c r="J598"/>
  <c r="D599"/>
  <c r="F599" s="1"/>
  <c r="L400"/>
  <c r="K400" s="1"/>
  <c r="J400"/>
  <c r="D401"/>
  <c r="F401" s="1"/>
  <c r="H181" l="1"/>
  <c r="I181"/>
  <c r="H291"/>
  <c r="I291"/>
  <c r="E445"/>
  <c r="G445" s="1"/>
  <c r="L246"/>
  <c r="K246" s="1"/>
  <c r="J246"/>
  <c r="D247"/>
  <c r="F247" s="1"/>
  <c r="C382" i="5"/>
  <c r="I383"/>
  <c r="B382"/>
  <c r="J356" i="2"/>
  <c r="L356"/>
  <c r="K356" s="1"/>
  <c r="D357"/>
  <c r="F357" s="1"/>
  <c r="E203"/>
  <c r="G203" s="1"/>
  <c r="L488"/>
  <c r="K488" s="1"/>
  <c r="J488"/>
  <c r="D489"/>
  <c r="F489" s="1"/>
  <c r="E379"/>
  <c r="G379" s="1"/>
  <c r="E269"/>
  <c r="G269" s="1"/>
  <c r="E577"/>
  <c r="G577" s="1"/>
  <c r="E423"/>
  <c r="G423"/>
  <c r="E599"/>
  <c r="G599" s="1"/>
  <c r="J312"/>
  <c r="L312"/>
  <c r="K312" s="1"/>
  <c r="D313"/>
  <c r="F313" s="1"/>
  <c r="E401"/>
  <c r="G401" s="1"/>
  <c r="L334"/>
  <c r="K334" s="1"/>
  <c r="J334"/>
  <c r="D335"/>
  <c r="F335" s="1"/>
  <c r="L55" i="1"/>
  <c r="K55" s="1"/>
  <c r="J55"/>
  <c r="D56"/>
  <c r="F56" s="1"/>
  <c r="E511" i="2"/>
  <c r="G511" s="1"/>
  <c r="C120" i="5"/>
  <c r="I121"/>
  <c r="B120"/>
  <c r="L466" i="2"/>
  <c r="K466" s="1"/>
  <c r="J466"/>
  <c r="D467"/>
  <c r="F467" s="1"/>
  <c r="L620"/>
  <c r="K620" s="1"/>
  <c r="J620"/>
  <c r="D621"/>
  <c r="F621" s="1"/>
  <c r="J554"/>
  <c r="L554"/>
  <c r="K554" s="1"/>
  <c r="D555"/>
  <c r="F555" s="1"/>
  <c r="E103"/>
  <c r="G103" s="1"/>
  <c r="E643"/>
  <c r="G643" s="1"/>
  <c r="E533"/>
  <c r="G533" s="1"/>
  <c r="L224"/>
  <c r="K224" s="1"/>
  <c r="J224"/>
  <c r="D225"/>
  <c r="F225" s="1"/>
  <c r="H103" l="1"/>
  <c r="I103"/>
  <c r="I445"/>
  <c r="H445"/>
  <c r="H203"/>
  <c r="I203"/>
  <c r="I577"/>
  <c r="H577"/>
  <c r="I379"/>
  <c r="H379"/>
  <c r="I401"/>
  <c r="H401"/>
  <c r="I533"/>
  <c r="H533"/>
  <c r="I599"/>
  <c r="H599"/>
  <c r="I269"/>
  <c r="H269"/>
  <c r="H511"/>
  <c r="I511"/>
  <c r="I643"/>
  <c r="H643"/>
  <c r="E335"/>
  <c r="G335" s="1"/>
  <c r="E621"/>
  <c r="G621" s="1"/>
  <c r="I423"/>
  <c r="H423"/>
  <c r="E489"/>
  <c r="G489" s="1"/>
  <c r="C383" i="5"/>
  <c r="I384"/>
  <c r="B383"/>
  <c r="L291" i="2"/>
  <c r="K291" s="1"/>
  <c r="J291"/>
  <c r="E555"/>
  <c r="G555" s="1"/>
  <c r="E357"/>
  <c r="G357" s="1"/>
  <c r="E225"/>
  <c r="G225" s="1"/>
  <c r="E467"/>
  <c r="G467" s="1"/>
  <c r="E56" i="1"/>
  <c r="G56" s="1"/>
  <c r="E313" i="2"/>
  <c r="G313" s="1"/>
  <c r="E247"/>
  <c r="G247" s="1"/>
  <c r="L181"/>
  <c r="K181" s="1"/>
  <c r="J181"/>
  <c r="C121" i="5"/>
  <c r="I122"/>
  <c r="B121"/>
  <c r="H247" i="2" l="1"/>
  <c r="I247"/>
  <c r="I467"/>
  <c r="H467"/>
  <c r="I335"/>
  <c r="H335"/>
  <c r="I489"/>
  <c r="H489"/>
  <c r="I313"/>
  <c r="H313"/>
  <c r="I357"/>
  <c r="H357"/>
  <c r="I621"/>
  <c r="H621"/>
  <c r="H225"/>
  <c r="I225"/>
  <c r="I555"/>
  <c r="H555"/>
  <c r="C122" i="5"/>
  <c r="I123"/>
  <c r="B122"/>
  <c r="L599" i="2"/>
  <c r="K599" s="1"/>
  <c r="J599"/>
  <c r="L577"/>
  <c r="K577" s="1"/>
  <c r="J577"/>
  <c r="L203"/>
  <c r="K203" s="1"/>
  <c r="J203"/>
  <c r="J643"/>
  <c r="L643"/>
  <c r="K643" s="1"/>
  <c r="L533"/>
  <c r="K533" s="1"/>
  <c r="J533"/>
  <c r="L423"/>
  <c r="K423" s="1"/>
  <c r="J423"/>
  <c r="J511"/>
  <c r="L511"/>
  <c r="K511" s="1"/>
  <c r="L401"/>
  <c r="K401" s="1"/>
  <c r="J401"/>
  <c r="L445"/>
  <c r="K445" s="1"/>
  <c r="J445"/>
  <c r="J103"/>
  <c r="L103"/>
  <c r="K103" s="1"/>
  <c r="I56" i="1"/>
  <c r="H56"/>
  <c r="C384" i="5"/>
  <c r="I385"/>
  <c r="B384"/>
  <c r="L269" i="2"/>
  <c r="K269" s="1"/>
  <c r="J269"/>
  <c r="L379"/>
  <c r="K379" s="1"/>
  <c r="J379"/>
  <c r="C385" i="5" l="1"/>
  <c r="I386"/>
  <c r="B385"/>
  <c r="L489" i="2"/>
  <c r="K489" s="1"/>
  <c r="J489"/>
  <c r="L621"/>
  <c r="K621" s="1"/>
  <c r="J621"/>
  <c r="L335"/>
  <c r="K335" s="1"/>
  <c r="J335"/>
  <c r="L56" i="1"/>
  <c r="K56" s="1"/>
  <c r="J56"/>
  <c r="C123" i="5"/>
  <c r="I124"/>
  <c r="B123"/>
  <c r="L357" i="2"/>
  <c r="K357" s="1"/>
  <c r="J357"/>
  <c r="L467"/>
  <c r="K467" s="1"/>
  <c r="J467"/>
  <c r="J247"/>
  <c r="L247"/>
  <c r="K247" s="1"/>
  <c r="L225"/>
  <c r="K225" s="1"/>
  <c r="J225"/>
  <c r="L555"/>
  <c r="K555" s="1"/>
  <c r="J555"/>
  <c r="L313"/>
  <c r="K313" s="1"/>
  <c r="J313"/>
  <c r="C124" i="5" l="1"/>
  <c r="I125"/>
  <c r="B124"/>
  <c r="C386"/>
  <c r="I387"/>
  <c r="B386"/>
  <c r="C387" l="1"/>
  <c r="I388"/>
  <c r="B387"/>
  <c r="C125"/>
  <c r="I126"/>
  <c r="B125"/>
  <c r="C388" l="1"/>
  <c r="I389"/>
  <c r="B388"/>
  <c r="C126"/>
  <c r="I127"/>
  <c r="B126"/>
  <c r="C127" l="1"/>
  <c r="I128"/>
  <c r="B127"/>
  <c r="C389"/>
  <c r="I390"/>
  <c r="B389"/>
  <c r="C128" l="1"/>
  <c r="I129"/>
  <c r="B128"/>
  <c r="C390"/>
  <c r="I391"/>
  <c r="B390"/>
  <c r="C129" l="1"/>
  <c r="I130"/>
  <c r="B129"/>
  <c r="C391"/>
  <c r="I392"/>
  <c r="B391"/>
  <c r="C392" l="1"/>
  <c r="I393"/>
  <c r="B392"/>
  <c r="C130"/>
  <c r="I131"/>
  <c r="B130"/>
  <c r="C393" l="1"/>
  <c r="I394"/>
  <c r="B393"/>
  <c r="C131"/>
  <c r="I132"/>
  <c r="B131"/>
  <c r="C394" l="1"/>
  <c r="I395"/>
  <c r="B394"/>
  <c r="C132"/>
  <c r="I133"/>
  <c r="B132"/>
  <c r="C133" l="1"/>
  <c r="I134"/>
  <c r="B133"/>
  <c r="C395"/>
  <c r="I396"/>
  <c r="B395"/>
  <c r="C134" l="1"/>
  <c r="I135"/>
  <c r="B134"/>
  <c r="C396"/>
  <c r="I397"/>
  <c r="B396"/>
  <c r="C135" l="1"/>
  <c r="I136"/>
  <c r="B135"/>
  <c r="C397"/>
  <c r="I398"/>
  <c r="B397"/>
  <c r="C398" l="1"/>
  <c r="I399"/>
  <c r="B398"/>
  <c r="C136"/>
  <c r="I137"/>
  <c r="B136"/>
  <c r="C399" l="1"/>
  <c r="I400"/>
  <c r="B399"/>
  <c r="C137"/>
  <c r="I138"/>
  <c r="B137"/>
  <c r="C138" l="1"/>
  <c r="I139"/>
  <c r="B138"/>
  <c r="C400"/>
  <c r="I401"/>
  <c r="B400"/>
  <c r="C401" l="1"/>
  <c r="I402"/>
  <c r="B401"/>
  <c r="C139"/>
  <c r="I140"/>
  <c r="B139"/>
  <c r="C140" l="1"/>
  <c r="I141"/>
  <c r="B140"/>
  <c r="C402"/>
  <c r="I403"/>
  <c r="B402"/>
  <c r="C403" l="1"/>
  <c r="I404"/>
  <c r="B403"/>
  <c r="C141"/>
  <c r="I142"/>
  <c r="B141"/>
  <c r="C142" l="1"/>
  <c r="I143"/>
  <c r="B142"/>
  <c r="C404"/>
  <c r="I405"/>
  <c r="B404"/>
  <c r="C143" l="1"/>
  <c r="I144"/>
  <c r="B143"/>
  <c r="C405"/>
  <c r="I406"/>
  <c r="B405"/>
  <c r="C406" l="1"/>
  <c r="I407"/>
  <c r="B406"/>
  <c r="C144"/>
  <c r="I145"/>
  <c r="B144"/>
  <c r="C145" l="1"/>
  <c r="I146"/>
  <c r="B145"/>
  <c r="C407"/>
  <c r="I408"/>
  <c r="B407"/>
  <c r="C408" l="1"/>
  <c r="I409"/>
  <c r="B408"/>
  <c r="C146"/>
  <c r="I147"/>
  <c r="B146"/>
  <c r="C147" l="1"/>
  <c r="I148"/>
  <c r="B147"/>
  <c r="C409"/>
  <c r="I410"/>
  <c r="B409"/>
  <c r="C148" l="1"/>
  <c r="I149"/>
  <c r="B148"/>
  <c r="C410"/>
  <c r="I411"/>
  <c r="B410"/>
  <c r="C411" l="1"/>
  <c r="I412"/>
  <c r="B411"/>
  <c r="C149"/>
  <c r="I150"/>
  <c r="B149"/>
  <c r="C150" l="1"/>
  <c r="I151"/>
  <c r="B150"/>
  <c r="C412"/>
  <c r="I413"/>
  <c r="B412"/>
  <c r="C413" l="1"/>
  <c r="I414"/>
  <c r="B413"/>
  <c r="C151"/>
  <c r="I152"/>
  <c r="B151"/>
  <c r="C152" l="1"/>
  <c r="I153"/>
  <c r="B152"/>
  <c r="C414"/>
  <c r="I415"/>
  <c r="B414"/>
  <c r="C153" l="1"/>
  <c r="I154"/>
  <c r="B153"/>
  <c r="C415"/>
  <c r="I416"/>
  <c r="B415"/>
  <c r="C416" l="1"/>
  <c r="I417"/>
  <c r="B416"/>
  <c r="C154"/>
  <c r="I155"/>
  <c r="B154"/>
  <c r="C417" l="1"/>
  <c r="I418"/>
  <c r="B417"/>
  <c r="C155"/>
  <c r="I156"/>
  <c r="B155"/>
  <c r="C156" l="1"/>
  <c r="I157"/>
  <c r="B156"/>
  <c r="C418"/>
  <c r="I419"/>
  <c r="B418"/>
  <c r="C419" l="1"/>
  <c r="I420"/>
  <c r="B419"/>
  <c r="C157"/>
  <c r="I158"/>
  <c r="B157"/>
  <c r="C158" l="1"/>
  <c r="I159"/>
  <c r="B158"/>
  <c r="C420"/>
  <c r="I421"/>
  <c r="B420"/>
  <c r="C421" l="1"/>
  <c r="I422"/>
  <c r="B421"/>
  <c r="C159"/>
  <c r="I160"/>
  <c r="B159"/>
  <c r="C160" l="1"/>
  <c r="I161"/>
  <c r="B160"/>
  <c r="C422"/>
  <c r="I423"/>
  <c r="B422"/>
  <c r="C423" l="1"/>
  <c r="I424"/>
  <c r="B423"/>
  <c r="C161"/>
  <c r="I162"/>
  <c r="B161"/>
  <c r="C162" l="1"/>
  <c r="I163"/>
  <c r="B162"/>
  <c r="C424"/>
  <c r="I425"/>
  <c r="B424"/>
  <c r="C163" l="1"/>
  <c r="I164"/>
  <c r="B163"/>
  <c r="C425"/>
  <c r="I426"/>
  <c r="B425"/>
  <c r="C426" l="1"/>
  <c r="I427"/>
  <c r="B426"/>
  <c r="C164"/>
  <c r="I165"/>
  <c r="B164"/>
  <c r="C165" l="1"/>
  <c r="I166"/>
  <c r="B165"/>
  <c r="C427"/>
  <c r="I428"/>
  <c r="B427"/>
  <c r="C428" l="1"/>
  <c r="I429"/>
  <c r="B428"/>
  <c r="C166"/>
  <c r="I167"/>
  <c r="B166"/>
  <c r="C167" l="1"/>
  <c r="I168"/>
  <c r="B167"/>
  <c r="C429"/>
  <c r="I430"/>
  <c r="B429"/>
  <c r="C168" l="1"/>
  <c r="I169"/>
  <c r="B168"/>
  <c r="C430"/>
  <c r="I431"/>
  <c r="B430"/>
  <c r="C431" l="1"/>
  <c r="I432"/>
  <c r="B431"/>
  <c r="C169"/>
  <c r="I170"/>
  <c r="B169"/>
  <c r="C170" l="1"/>
  <c r="I171"/>
  <c r="B170"/>
  <c r="C432"/>
  <c r="I433"/>
  <c r="B432"/>
  <c r="C433" l="1"/>
  <c r="I434"/>
  <c r="B433"/>
  <c r="C171"/>
  <c r="I172"/>
  <c r="B171"/>
  <c r="C172" l="1"/>
  <c r="I173"/>
  <c r="B172"/>
  <c r="C434"/>
  <c r="I435"/>
  <c r="B434"/>
  <c r="C435" l="1"/>
  <c r="I436"/>
  <c r="B435"/>
  <c r="C173"/>
  <c r="I174"/>
  <c r="B173"/>
  <c r="C174" l="1"/>
  <c r="I175"/>
  <c r="B174"/>
  <c r="C436"/>
  <c r="I437"/>
  <c r="B436"/>
  <c r="C437" l="1"/>
  <c r="I438"/>
  <c r="B437"/>
  <c r="C175"/>
  <c r="I176"/>
  <c r="B175"/>
  <c r="C176" l="1"/>
  <c r="I177"/>
  <c r="B176"/>
  <c r="C438"/>
  <c r="I439"/>
  <c r="B438"/>
  <c r="C177" l="1"/>
  <c r="I178"/>
  <c r="B177"/>
  <c r="C439"/>
  <c r="I440"/>
  <c r="B439"/>
  <c r="C440" l="1"/>
  <c r="I441"/>
  <c r="B440"/>
  <c r="C178"/>
  <c r="I179"/>
  <c r="B178"/>
  <c r="C441" l="1"/>
  <c r="I442"/>
  <c r="B441"/>
  <c r="C179"/>
  <c r="I180"/>
  <c r="B179"/>
  <c r="C180" l="1"/>
  <c r="I181"/>
  <c r="B180"/>
  <c r="C442"/>
  <c r="I443"/>
  <c r="B442"/>
  <c r="C181" l="1"/>
  <c r="I182"/>
  <c r="B181"/>
  <c r="C443"/>
  <c r="I444"/>
  <c r="B443"/>
  <c r="C444" l="1"/>
  <c r="I445"/>
  <c r="B444"/>
  <c r="C182"/>
  <c r="I183"/>
  <c r="B182"/>
  <c r="C183" l="1"/>
  <c r="I184"/>
  <c r="B183"/>
  <c r="C445"/>
  <c r="I446"/>
  <c r="B445"/>
  <c r="C184" l="1"/>
  <c r="I185"/>
  <c r="B184"/>
  <c r="C446"/>
  <c r="I447"/>
  <c r="B446"/>
  <c r="C185" l="1"/>
  <c r="I186"/>
  <c r="B185"/>
  <c r="C447"/>
  <c r="I448"/>
  <c r="B447"/>
  <c r="C448" l="1"/>
  <c r="I449"/>
  <c r="B448"/>
  <c r="C186"/>
  <c r="I187"/>
  <c r="B186"/>
  <c r="C187" l="1"/>
  <c r="I188"/>
  <c r="B187"/>
  <c r="C449"/>
  <c r="I450"/>
  <c r="B449"/>
  <c r="C450" l="1"/>
  <c r="I451"/>
  <c r="B450"/>
  <c r="C188"/>
  <c r="I189"/>
  <c r="B188"/>
  <c r="C189" l="1"/>
  <c r="I190"/>
  <c r="B189"/>
  <c r="C451"/>
  <c r="I452"/>
  <c r="B451"/>
  <c r="C452" l="1"/>
  <c r="I453"/>
  <c r="B452"/>
  <c r="C190"/>
  <c r="I191"/>
  <c r="B190"/>
  <c r="C191" l="1"/>
  <c r="I192"/>
  <c r="B191"/>
  <c r="C453"/>
  <c r="I454"/>
  <c r="B453"/>
  <c r="C454" l="1"/>
  <c r="I455"/>
  <c r="B454"/>
  <c r="C192"/>
  <c r="I193"/>
  <c r="B192"/>
  <c r="C455" l="1"/>
  <c r="I456"/>
  <c r="B455"/>
  <c r="C193"/>
  <c r="I194"/>
  <c r="B193"/>
  <c r="C194" l="1"/>
  <c r="I195"/>
  <c r="B194"/>
  <c r="C456"/>
  <c r="I457"/>
  <c r="B456"/>
  <c r="C457" l="1"/>
  <c r="I458"/>
  <c r="B457"/>
  <c r="C195"/>
  <c r="I196"/>
  <c r="B195"/>
  <c r="C196" l="1"/>
  <c r="I197"/>
  <c r="B196"/>
  <c r="C458"/>
  <c r="I459"/>
  <c r="B458"/>
  <c r="C459" l="1"/>
  <c r="I460"/>
  <c r="B459"/>
  <c r="C197"/>
  <c r="I198"/>
  <c r="B197"/>
  <c r="C198" l="1"/>
  <c r="I199"/>
  <c r="B198"/>
  <c r="C460"/>
  <c r="I461"/>
  <c r="B460"/>
  <c r="C461" l="1"/>
  <c r="I462"/>
  <c r="B461"/>
  <c r="C199"/>
  <c r="I200"/>
  <c r="B199"/>
  <c r="C462" l="1"/>
  <c r="I463"/>
  <c r="B462"/>
  <c r="C200"/>
  <c r="I201"/>
  <c r="B200"/>
  <c r="C463" l="1"/>
  <c r="I464"/>
  <c r="B463"/>
  <c r="C201"/>
  <c r="I202"/>
  <c r="B201"/>
  <c r="C202" l="1"/>
  <c r="I203"/>
  <c r="B202"/>
  <c r="C464"/>
  <c r="I465"/>
  <c r="B464"/>
  <c r="C465" l="1"/>
  <c r="I466"/>
  <c r="B465"/>
  <c r="C203"/>
  <c r="I204"/>
  <c r="B203"/>
  <c r="C466" l="1"/>
  <c r="I467"/>
  <c r="B466"/>
  <c r="C204"/>
  <c r="I205"/>
  <c r="B204"/>
  <c r="C205" l="1"/>
  <c r="I206"/>
  <c r="B205"/>
  <c r="C467"/>
  <c r="I468"/>
  <c r="B467"/>
  <c r="C206" l="1"/>
  <c r="I207"/>
  <c r="B206"/>
  <c r="C468"/>
  <c r="I469"/>
  <c r="B468"/>
  <c r="C207" l="1"/>
  <c r="I208"/>
  <c r="B207"/>
  <c r="C469"/>
  <c r="I470"/>
  <c r="B469"/>
  <c r="C470" l="1"/>
  <c r="I471"/>
  <c r="B470"/>
  <c r="C208"/>
  <c r="I209"/>
  <c r="B208"/>
  <c r="C471" l="1"/>
  <c r="I472"/>
  <c r="B471"/>
  <c r="C209"/>
  <c r="I210"/>
  <c r="B209"/>
  <c r="C472" l="1"/>
  <c r="I473"/>
  <c r="B472"/>
  <c r="C210"/>
  <c r="I211"/>
  <c r="B210"/>
  <c r="C473" l="1"/>
  <c r="I474"/>
  <c r="B473"/>
  <c r="C211"/>
  <c r="I212"/>
  <c r="B211"/>
  <c r="C212" l="1"/>
  <c r="I213"/>
  <c r="B212"/>
  <c r="C474"/>
  <c r="I475"/>
  <c r="B474"/>
  <c r="C213" l="1"/>
  <c r="I214"/>
  <c r="B213"/>
  <c r="C475"/>
  <c r="I476"/>
  <c r="B475"/>
  <c r="C476" l="1"/>
  <c r="I477"/>
  <c r="B476"/>
  <c r="C214"/>
  <c r="I215"/>
  <c r="B214"/>
  <c r="C215" l="1"/>
  <c r="I216"/>
  <c r="B215"/>
  <c r="C477"/>
  <c r="I478"/>
  <c r="B477"/>
  <c r="C216" l="1"/>
  <c r="I217"/>
  <c r="B216"/>
  <c r="C478"/>
  <c r="I479"/>
  <c r="B478"/>
  <c r="C479" l="1"/>
  <c r="I480"/>
  <c r="B479"/>
  <c r="C217"/>
  <c r="I218"/>
  <c r="B217"/>
  <c r="C218" l="1"/>
  <c r="I219"/>
  <c r="B218"/>
  <c r="C480"/>
  <c r="I481"/>
  <c r="B480"/>
  <c r="C481" l="1"/>
  <c r="I482"/>
  <c r="B481"/>
  <c r="C219"/>
  <c r="I220"/>
  <c r="B219"/>
  <c r="C220" l="1"/>
  <c r="I221"/>
  <c r="B220"/>
  <c r="C482"/>
  <c r="I483"/>
  <c r="B482"/>
  <c r="C221" l="1"/>
  <c r="I222"/>
  <c r="B221"/>
  <c r="C483"/>
  <c r="I484"/>
  <c r="B483"/>
  <c r="C484" l="1"/>
  <c r="I485"/>
  <c r="B484"/>
  <c r="C222"/>
  <c r="I223"/>
  <c r="B222"/>
  <c r="C485" l="1"/>
  <c r="I486"/>
  <c r="B485"/>
  <c r="C223"/>
  <c r="I224"/>
  <c r="B223"/>
  <c r="C224" l="1"/>
  <c r="I225"/>
  <c r="B224"/>
  <c r="C486"/>
  <c r="I487"/>
  <c r="B486"/>
  <c r="C225" l="1"/>
  <c r="I226"/>
  <c r="B225"/>
  <c r="C487"/>
  <c r="I488"/>
  <c r="B487"/>
  <c r="C488" l="1"/>
  <c r="I489"/>
  <c r="B488"/>
  <c r="C226"/>
  <c r="I227"/>
  <c r="B226"/>
  <c r="C227" l="1"/>
  <c r="I228"/>
  <c r="B227"/>
  <c r="C489"/>
  <c r="I490"/>
  <c r="B489"/>
  <c r="C490" l="1"/>
  <c r="I491"/>
  <c r="B490"/>
  <c r="C228"/>
  <c r="I229"/>
  <c r="B228"/>
  <c r="C491" l="1"/>
  <c r="I492"/>
  <c r="B491"/>
  <c r="C229"/>
  <c r="I230"/>
  <c r="B229"/>
  <c r="C230" l="1"/>
  <c r="I231"/>
  <c r="B230"/>
  <c r="C492"/>
  <c r="I493"/>
  <c r="B492"/>
  <c r="C493" l="1"/>
  <c r="I494"/>
  <c r="B493"/>
  <c r="C231"/>
  <c r="I232"/>
  <c r="B231"/>
  <c r="C232" l="1"/>
  <c r="I233"/>
  <c r="B232"/>
  <c r="C494"/>
  <c r="I495"/>
  <c r="B494"/>
  <c r="C495" l="1"/>
  <c r="I496"/>
  <c r="B495"/>
  <c r="C233"/>
  <c r="I234"/>
  <c r="B233"/>
  <c r="C234" l="1"/>
  <c r="I235"/>
  <c r="B234"/>
  <c r="C496"/>
  <c r="I497"/>
  <c r="B496"/>
  <c r="C497" l="1"/>
  <c r="I498"/>
  <c r="B497"/>
  <c r="C235"/>
  <c r="I236"/>
  <c r="B235"/>
  <c r="C236" l="1"/>
  <c r="I237"/>
  <c r="B236"/>
  <c r="C498"/>
  <c r="I499"/>
  <c r="B498"/>
  <c r="C499" l="1"/>
  <c r="I500"/>
  <c r="B499"/>
  <c r="C237"/>
  <c r="I238"/>
  <c r="B237"/>
  <c r="C238" l="1"/>
  <c r="I239"/>
  <c r="B238"/>
  <c r="C500"/>
  <c r="I501"/>
  <c r="B500"/>
  <c r="C501" l="1"/>
  <c r="I502"/>
  <c r="B501"/>
  <c r="C239"/>
  <c r="I240"/>
  <c r="B239"/>
  <c r="C240" l="1"/>
  <c r="I241"/>
  <c r="B240"/>
  <c r="C502"/>
  <c r="I503"/>
  <c r="B502"/>
  <c r="C503" l="1"/>
  <c r="I504"/>
  <c r="B503"/>
  <c r="C241"/>
  <c r="I242"/>
  <c r="B241"/>
  <c r="C242" l="1"/>
  <c r="I243"/>
  <c r="B242"/>
  <c r="C504"/>
  <c r="I505"/>
  <c r="B504"/>
  <c r="C505" l="1"/>
  <c r="I506"/>
  <c r="B505"/>
  <c r="C243"/>
  <c r="I244"/>
  <c r="B243"/>
  <c r="C506" l="1"/>
  <c r="I507"/>
  <c r="B506"/>
  <c r="C244"/>
  <c r="I245"/>
  <c r="B244"/>
  <c r="C245" l="1"/>
  <c r="I246"/>
  <c r="B245"/>
  <c r="C507"/>
  <c r="I508"/>
  <c r="B507"/>
  <c r="C508" l="1"/>
  <c r="I509"/>
  <c r="B508"/>
  <c r="C246"/>
  <c r="I247"/>
  <c r="B246"/>
  <c r="C509" l="1"/>
  <c r="I510"/>
  <c r="B509"/>
  <c r="C247"/>
  <c r="I248"/>
  <c r="B247"/>
  <c r="C248" l="1"/>
  <c r="I249"/>
  <c r="B248"/>
  <c r="C510"/>
  <c r="I511"/>
  <c r="B510"/>
  <c r="C511" l="1"/>
  <c r="I512"/>
  <c r="B511"/>
  <c r="C249"/>
  <c r="I250"/>
  <c r="B249"/>
  <c r="C250" l="1"/>
  <c r="I251"/>
  <c r="B250"/>
  <c r="C512"/>
  <c r="I513"/>
  <c r="B512"/>
  <c r="C513" l="1"/>
  <c r="I514"/>
  <c r="B513"/>
  <c r="C251"/>
  <c r="I252"/>
  <c r="B251"/>
  <c r="C252" l="1"/>
  <c r="I253"/>
  <c r="B252"/>
  <c r="C514"/>
  <c r="I515"/>
  <c r="B514"/>
  <c r="C515" l="1"/>
  <c r="I516"/>
  <c r="B515"/>
  <c r="C253"/>
  <c r="I254"/>
  <c r="B253"/>
  <c r="C254" l="1"/>
  <c r="I255"/>
  <c r="B254"/>
  <c r="C516"/>
  <c r="I517"/>
  <c r="B516"/>
  <c r="C255" l="1"/>
  <c r="I256"/>
  <c r="B255"/>
  <c r="C517"/>
  <c r="I518"/>
  <c r="B517"/>
  <c r="C518" l="1"/>
  <c r="D518" s="1"/>
  <c r="B518"/>
  <c r="F518" s="1"/>
  <c r="C256"/>
  <c r="I257"/>
  <c r="B256"/>
  <c r="C257" l="1"/>
  <c r="D257" s="1"/>
  <c r="B257"/>
  <c r="F257" s="1"/>
  <c r="E518"/>
  <c r="G518" s="1"/>
  <c r="H518" s="1"/>
  <c r="D517" s="1"/>
  <c r="F517" l="1"/>
  <c r="E257"/>
  <c r="G257" s="1"/>
  <c r="H257" s="1"/>
  <c r="D256" s="1"/>
  <c r="F256" l="1"/>
  <c r="E517"/>
  <c r="G517" s="1"/>
  <c r="H517" s="1"/>
  <c r="D516" s="1"/>
  <c r="F516" l="1"/>
  <c r="E256"/>
  <c r="G256" s="1"/>
  <c r="H256" s="1"/>
  <c r="D255" s="1"/>
  <c r="F255" l="1"/>
  <c r="E516"/>
  <c r="G516" s="1"/>
  <c r="H516" s="1"/>
  <c r="D515" s="1"/>
  <c r="F515" l="1"/>
  <c r="E255"/>
  <c r="G255" s="1"/>
  <c r="H255" s="1"/>
  <c r="D254" s="1"/>
  <c r="F254" l="1"/>
  <c r="E515"/>
  <c r="G515" s="1"/>
  <c r="H515" s="1"/>
  <c r="D514" s="1"/>
  <c r="F514" l="1"/>
  <c r="E254"/>
  <c r="G254" s="1"/>
  <c r="H254" s="1"/>
  <c r="D253" s="1"/>
  <c r="F253" l="1"/>
  <c r="E514"/>
  <c r="G514" s="1"/>
  <c r="H514" s="1"/>
  <c r="D513" s="1"/>
  <c r="F513" l="1"/>
  <c r="E253"/>
  <c r="G253" s="1"/>
  <c r="H253" s="1"/>
  <c r="D252" s="1"/>
  <c r="F252" l="1"/>
  <c r="E513"/>
  <c r="G513" s="1"/>
  <c r="H513" s="1"/>
  <c r="D512" s="1"/>
  <c r="F512" l="1"/>
  <c r="E252"/>
  <c r="G252" s="1"/>
  <c r="H252" s="1"/>
  <c r="D251" s="1"/>
  <c r="F251" l="1"/>
  <c r="E512"/>
  <c r="G512" s="1"/>
  <c r="H512" s="1"/>
  <c r="D511" s="1"/>
  <c r="F511" l="1"/>
  <c r="E251"/>
  <c r="G251" s="1"/>
  <c r="H251" s="1"/>
  <c r="D250" s="1"/>
  <c r="F250" l="1"/>
  <c r="E511"/>
  <c r="G511" s="1"/>
  <c r="H511" s="1"/>
  <c r="D510" s="1"/>
  <c r="F510" l="1"/>
  <c r="E250"/>
  <c r="G250" s="1"/>
  <c r="H250" s="1"/>
  <c r="D249" s="1"/>
  <c r="F249" l="1"/>
  <c r="E510"/>
  <c r="G510" s="1"/>
  <c r="H510" s="1"/>
  <c r="D509" s="1"/>
  <c r="F509" l="1"/>
  <c r="E249"/>
  <c r="G249" s="1"/>
  <c r="H249" s="1"/>
  <c r="D248" s="1"/>
  <c r="F248" l="1"/>
  <c r="E509"/>
  <c r="G509" s="1"/>
  <c r="H509" s="1"/>
  <c r="D508" s="1"/>
  <c r="F508" l="1"/>
  <c r="E248"/>
  <c r="G248" s="1"/>
  <c r="H248" s="1"/>
  <c r="D247" s="1"/>
  <c r="F247" l="1"/>
  <c r="E508"/>
  <c r="G508" s="1"/>
  <c r="H508" s="1"/>
  <c r="D507" s="1"/>
  <c r="F507" l="1"/>
  <c r="E247"/>
  <c r="G247" s="1"/>
  <c r="H247" s="1"/>
  <c r="D246" s="1"/>
  <c r="F246" l="1"/>
  <c r="E507"/>
  <c r="G507" s="1"/>
  <c r="H507" s="1"/>
  <c r="D506" s="1"/>
  <c r="F506" l="1"/>
  <c r="E246"/>
  <c r="G246" s="1"/>
  <c r="H246" s="1"/>
  <c r="D245" s="1"/>
  <c r="F245" l="1"/>
  <c r="E506"/>
  <c r="G506" s="1"/>
  <c r="H506" s="1"/>
  <c r="D505" s="1"/>
  <c r="F505" l="1"/>
  <c r="E245"/>
  <c r="G245" s="1"/>
  <c r="H245" s="1"/>
  <c r="D244" s="1"/>
  <c r="F244" l="1"/>
  <c r="E505"/>
  <c r="G505" s="1"/>
  <c r="H505" s="1"/>
  <c r="D504" s="1"/>
  <c r="F504" l="1"/>
  <c r="E244"/>
  <c r="G244" s="1"/>
  <c r="H244" s="1"/>
  <c r="D243" s="1"/>
  <c r="F243" l="1"/>
  <c r="E504"/>
  <c r="G504" s="1"/>
  <c r="H504" s="1"/>
  <c r="D503" s="1"/>
  <c r="F503" l="1"/>
  <c r="E243"/>
  <c r="G243" s="1"/>
  <c r="H243" s="1"/>
  <c r="D242" s="1"/>
  <c r="F242" l="1"/>
  <c r="E503"/>
  <c r="G503" s="1"/>
  <c r="H503" s="1"/>
  <c r="D502" s="1"/>
  <c r="F502" l="1"/>
  <c r="E242"/>
  <c r="G242" s="1"/>
  <c r="H242" s="1"/>
  <c r="D241" s="1"/>
  <c r="F241" l="1"/>
  <c r="E502"/>
  <c r="G502" s="1"/>
  <c r="H502" s="1"/>
  <c r="D501" s="1"/>
  <c r="F501" l="1"/>
  <c r="E241"/>
  <c r="G241" s="1"/>
  <c r="H241" s="1"/>
  <c r="D240" s="1"/>
  <c r="F240" l="1"/>
  <c r="E501"/>
  <c r="G501" s="1"/>
  <c r="H501" s="1"/>
  <c r="D500" s="1"/>
  <c r="F500" l="1"/>
  <c r="E240"/>
  <c r="G240" s="1"/>
  <c r="H240" s="1"/>
  <c r="D239" s="1"/>
  <c r="F239" l="1"/>
  <c r="E500"/>
  <c r="G500" s="1"/>
  <c r="H500" s="1"/>
  <c r="D499" s="1"/>
  <c r="F499" l="1"/>
  <c r="E239"/>
  <c r="G239" s="1"/>
  <c r="H239" s="1"/>
  <c r="D238" s="1"/>
  <c r="F238" l="1"/>
  <c r="E499"/>
  <c r="G499" s="1"/>
  <c r="H499" s="1"/>
  <c r="D498" s="1"/>
  <c r="F498" l="1"/>
  <c r="E238"/>
  <c r="G238" s="1"/>
  <c r="H238" s="1"/>
  <c r="D237" s="1"/>
  <c r="F237" l="1"/>
  <c r="E498"/>
  <c r="G498" s="1"/>
  <c r="H498" s="1"/>
  <c r="D497" s="1"/>
  <c r="F497" l="1"/>
  <c r="E237"/>
  <c r="G237" s="1"/>
  <c r="H237" s="1"/>
  <c r="D236" s="1"/>
  <c r="F236" l="1"/>
  <c r="E497"/>
  <c r="G497" s="1"/>
  <c r="H497" s="1"/>
  <c r="D496" s="1"/>
  <c r="F496" l="1"/>
  <c r="E236"/>
  <c r="G236" s="1"/>
  <c r="H236" s="1"/>
  <c r="D235" s="1"/>
  <c r="F235" l="1"/>
  <c r="E496"/>
  <c r="G496" s="1"/>
  <c r="H496" s="1"/>
  <c r="D495" s="1"/>
  <c r="F495" l="1"/>
  <c r="E235"/>
  <c r="G235" s="1"/>
  <c r="H235" s="1"/>
  <c r="D234" s="1"/>
  <c r="F234" l="1"/>
  <c r="E495"/>
  <c r="G495" s="1"/>
  <c r="H495" s="1"/>
  <c r="D494" s="1"/>
  <c r="F494" l="1"/>
  <c r="E234"/>
  <c r="G234" s="1"/>
  <c r="H234" s="1"/>
  <c r="D233" s="1"/>
  <c r="F233" l="1"/>
  <c r="E494"/>
  <c r="G494" s="1"/>
  <c r="H494" s="1"/>
  <c r="D493" s="1"/>
  <c r="F493" l="1"/>
  <c r="E233"/>
  <c r="G233" s="1"/>
  <c r="H233" s="1"/>
  <c r="D232" s="1"/>
  <c r="F232" l="1"/>
  <c r="E493"/>
  <c r="G493" s="1"/>
  <c r="H493" s="1"/>
  <c r="D492" s="1"/>
  <c r="F492" l="1"/>
  <c r="E232"/>
  <c r="G232" s="1"/>
  <c r="H232" s="1"/>
  <c r="D231" s="1"/>
  <c r="F231" l="1"/>
  <c r="E492"/>
  <c r="G492" s="1"/>
  <c r="H492" s="1"/>
  <c r="D491" s="1"/>
  <c r="F491" l="1"/>
  <c r="E231"/>
  <c r="G231" s="1"/>
  <c r="H231" s="1"/>
  <c r="D230" s="1"/>
  <c r="F230" l="1"/>
  <c r="E491"/>
  <c r="G491" s="1"/>
  <c r="H491" s="1"/>
  <c r="D490" s="1"/>
  <c r="F490" l="1"/>
  <c r="E230"/>
  <c r="G230" s="1"/>
  <c r="H230" s="1"/>
  <c r="D229" s="1"/>
  <c r="F229" l="1"/>
  <c r="E490"/>
  <c r="G490" s="1"/>
  <c r="H490" s="1"/>
  <c r="D489" s="1"/>
  <c r="F489" l="1"/>
  <c r="E229"/>
  <c r="G229" s="1"/>
  <c r="H229" s="1"/>
  <c r="D228" s="1"/>
  <c r="F228" l="1"/>
  <c r="E489"/>
  <c r="G489" s="1"/>
  <c r="H489" s="1"/>
  <c r="D488" s="1"/>
  <c r="F488" l="1"/>
  <c r="E228"/>
  <c r="G228" s="1"/>
  <c r="H228" s="1"/>
  <c r="D227" s="1"/>
  <c r="F227" l="1"/>
  <c r="E488"/>
  <c r="G488" s="1"/>
  <c r="H488" s="1"/>
  <c r="D487" s="1"/>
  <c r="F487" l="1"/>
  <c r="E227"/>
  <c r="G227" s="1"/>
  <c r="H227" s="1"/>
  <c r="D226" s="1"/>
  <c r="F226" l="1"/>
  <c r="E487"/>
  <c r="G487" s="1"/>
  <c r="H487" s="1"/>
  <c r="D486" s="1"/>
  <c r="F486" l="1"/>
  <c r="E226"/>
  <c r="G226" s="1"/>
  <c r="H226" s="1"/>
  <c r="D225" s="1"/>
  <c r="F225" l="1"/>
  <c r="E486"/>
  <c r="G486" s="1"/>
  <c r="H486" s="1"/>
  <c r="D485" s="1"/>
  <c r="F485" l="1"/>
  <c r="E225"/>
  <c r="G225" s="1"/>
  <c r="H225" s="1"/>
  <c r="D224" s="1"/>
  <c r="F224" l="1"/>
  <c r="E485"/>
  <c r="G485" s="1"/>
  <c r="H485" s="1"/>
  <c r="D484" s="1"/>
  <c r="F484" l="1"/>
  <c r="E224"/>
  <c r="G224" s="1"/>
  <c r="H224" s="1"/>
  <c r="D223" s="1"/>
  <c r="F223" l="1"/>
  <c r="E484"/>
  <c r="G484" s="1"/>
  <c r="H484" s="1"/>
  <c r="D483" s="1"/>
  <c r="F483" l="1"/>
  <c r="E223"/>
  <c r="G223" s="1"/>
  <c r="H223" s="1"/>
  <c r="D222" s="1"/>
  <c r="F222" l="1"/>
  <c r="E483"/>
  <c r="G483" s="1"/>
  <c r="H483" s="1"/>
  <c r="D482" s="1"/>
  <c r="F482" l="1"/>
  <c r="E222"/>
  <c r="G222" s="1"/>
  <c r="H222" s="1"/>
  <c r="D221" s="1"/>
  <c r="F221" l="1"/>
  <c r="E482"/>
  <c r="G482" s="1"/>
  <c r="H482" s="1"/>
  <c r="D481" s="1"/>
  <c r="F481" l="1"/>
  <c r="E221"/>
  <c r="G221" s="1"/>
  <c r="H221" s="1"/>
  <c r="D220" s="1"/>
  <c r="F220" l="1"/>
  <c r="E481"/>
  <c r="G481" s="1"/>
  <c r="H481" s="1"/>
  <c r="D480" s="1"/>
  <c r="F480" l="1"/>
  <c r="E220"/>
  <c r="G220" s="1"/>
  <c r="H220" s="1"/>
  <c r="D219" s="1"/>
  <c r="F219" l="1"/>
  <c r="E480"/>
  <c r="G480" s="1"/>
  <c r="H480" s="1"/>
  <c r="D479" s="1"/>
  <c r="F479" l="1"/>
  <c r="E219"/>
  <c r="G219" s="1"/>
  <c r="H219" s="1"/>
  <c r="D218" s="1"/>
  <c r="F218" l="1"/>
  <c r="E479"/>
  <c r="G479" s="1"/>
  <c r="H479" s="1"/>
  <c r="D478" s="1"/>
  <c r="F478" l="1"/>
  <c r="E218"/>
  <c r="G218" s="1"/>
  <c r="H218" s="1"/>
  <c r="D217" s="1"/>
  <c r="F217" l="1"/>
  <c r="E478"/>
  <c r="G478" s="1"/>
  <c r="H478" s="1"/>
  <c r="D477" s="1"/>
  <c r="F477" l="1"/>
  <c r="E217"/>
  <c r="G217" s="1"/>
  <c r="H217" s="1"/>
  <c r="D216" s="1"/>
  <c r="F216" l="1"/>
  <c r="E477"/>
  <c r="G477" s="1"/>
  <c r="H477" s="1"/>
  <c r="D476" s="1"/>
  <c r="F476" l="1"/>
  <c r="E216"/>
  <c r="G216" s="1"/>
  <c r="H216" s="1"/>
  <c r="D215" s="1"/>
  <c r="F215" l="1"/>
  <c r="E476"/>
  <c r="G476" s="1"/>
  <c r="H476" s="1"/>
  <c r="D475" s="1"/>
  <c r="F475" l="1"/>
  <c r="E215"/>
  <c r="G215" s="1"/>
  <c r="H215" s="1"/>
  <c r="D214" s="1"/>
  <c r="F214" l="1"/>
  <c r="E475"/>
  <c r="G475" s="1"/>
  <c r="H475" s="1"/>
  <c r="D474" s="1"/>
  <c r="F474" l="1"/>
  <c r="E214"/>
  <c r="G214" s="1"/>
  <c r="H214" s="1"/>
  <c r="D213" s="1"/>
  <c r="F213" l="1"/>
  <c r="E474"/>
  <c r="G474" s="1"/>
  <c r="H474" s="1"/>
  <c r="D473" s="1"/>
  <c r="F473" l="1"/>
  <c r="E213"/>
  <c r="G213" s="1"/>
  <c r="H213" s="1"/>
  <c r="D212" s="1"/>
  <c r="F212" l="1"/>
  <c r="E473"/>
  <c r="G473" s="1"/>
  <c r="H473" s="1"/>
  <c r="D472" s="1"/>
  <c r="F472" l="1"/>
  <c r="E212"/>
  <c r="G212" s="1"/>
  <c r="H212" s="1"/>
  <c r="D211" s="1"/>
  <c r="F211" l="1"/>
  <c r="E472"/>
  <c r="G472" s="1"/>
  <c r="H472" s="1"/>
  <c r="D471" s="1"/>
  <c r="F471" l="1"/>
  <c r="E211"/>
  <c r="G211" s="1"/>
  <c r="H211" s="1"/>
  <c r="D210" s="1"/>
  <c r="F210" l="1"/>
  <c r="E471"/>
  <c r="G471" s="1"/>
  <c r="H471" s="1"/>
  <c r="D470" s="1"/>
  <c r="F470" l="1"/>
  <c r="E210"/>
  <c r="G210" s="1"/>
  <c r="H210" s="1"/>
  <c r="D209" s="1"/>
  <c r="F209" l="1"/>
  <c r="E470"/>
  <c r="G470" s="1"/>
  <c r="H470" s="1"/>
  <c r="D469" s="1"/>
  <c r="F469" l="1"/>
  <c r="E209"/>
  <c r="G209" s="1"/>
  <c r="H209" s="1"/>
  <c r="D208" s="1"/>
  <c r="F208" l="1"/>
  <c r="E469"/>
  <c r="G469" s="1"/>
  <c r="H469" s="1"/>
  <c r="D468" s="1"/>
  <c r="F468" l="1"/>
  <c r="E208"/>
  <c r="G208" s="1"/>
  <c r="H208" s="1"/>
  <c r="D207" s="1"/>
  <c r="F207" l="1"/>
  <c r="E468"/>
  <c r="G468" s="1"/>
  <c r="H468" s="1"/>
  <c r="D467" s="1"/>
  <c r="F467" l="1"/>
  <c r="E207"/>
  <c r="G207" s="1"/>
  <c r="H207" s="1"/>
  <c r="D206" s="1"/>
  <c r="F206" l="1"/>
  <c r="E467"/>
  <c r="G467" s="1"/>
  <c r="H467" s="1"/>
  <c r="D466" s="1"/>
  <c r="F466" l="1"/>
  <c r="E206"/>
  <c r="G206" s="1"/>
  <c r="H206" s="1"/>
  <c r="D205" s="1"/>
  <c r="F205" l="1"/>
  <c r="E466"/>
  <c r="G466" s="1"/>
  <c r="H466" s="1"/>
  <c r="D465" s="1"/>
  <c r="F465" l="1"/>
  <c r="E205"/>
  <c r="G205" s="1"/>
  <c r="H205" s="1"/>
  <c r="D204" s="1"/>
  <c r="F204" l="1"/>
  <c r="E465"/>
  <c r="G465" s="1"/>
  <c r="H465" s="1"/>
  <c r="D464" s="1"/>
  <c r="F464" l="1"/>
  <c r="E204"/>
  <c r="G204" s="1"/>
  <c r="H204" s="1"/>
  <c r="D203" s="1"/>
  <c r="F203" l="1"/>
  <c r="E464"/>
  <c r="G464" s="1"/>
  <c r="H464" s="1"/>
  <c r="D463" s="1"/>
  <c r="F463" l="1"/>
  <c r="E203"/>
  <c r="G203" s="1"/>
  <c r="H203" s="1"/>
  <c r="D202" s="1"/>
  <c r="F202" l="1"/>
  <c r="E463"/>
  <c r="G463" s="1"/>
  <c r="H463" s="1"/>
  <c r="D462" s="1"/>
  <c r="F462" l="1"/>
  <c r="E202"/>
  <c r="G202" s="1"/>
  <c r="H202" s="1"/>
  <c r="D201" s="1"/>
  <c r="F201" l="1"/>
  <c r="E462"/>
  <c r="G462" s="1"/>
  <c r="H462" s="1"/>
  <c r="D461" s="1"/>
  <c r="F461" l="1"/>
  <c r="E201"/>
  <c r="G201" s="1"/>
  <c r="H201" s="1"/>
  <c r="D200" s="1"/>
  <c r="F200" l="1"/>
  <c r="E461"/>
  <c r="G461" s="1"/>
  <c r="H461" s="1"/>
  <c r="D460" s="1"/>
  <c r="F460" l="1"/>
  <c r="E200"/>
  <c r="G200" s="1"/>
  <c r="H200" s="1"/>
  <c r="D199" s="1"/>
  <c r="F199" l="1"/>
  <c r="E460"/>
  <c r="G460" s="1"/>
  <c r="H460" s="1"/>
  <c r="D459" s="1"/>
  <c r="F459" l="1"/>
  <c r="E199"/>
  <c r="G199" s="1"/>
  <c r="H199" s="1"/>
  <c r="D198" s="1"/>
  <c r="F198" l="1"/>
  <c r="E459"/>
  <c r="G459" s="1"/>
  <c r="H459" s="1"/>
  <c r="D458" s="1"/>
  <c r="F458" l="1"/>
  <c r="E198"/>
  <c r="G198" s="1"/>
  <c r="H198" s="1"/>
  <c r="D197" s="1"/>
  <c r="F197" l="1"/>
  <c r="E458"/>
  <c r="G458" s="1"/>
  <c r="H458" s="1"/>
  <c r="D457" s="1"/>
  <c r="F457" l="1"/>
  <c r="E197"/>
  <c r="G197" s="1"/>
  <c r="H197" s="1"/>
  <c r="D196" s="1"/>
  <c r="F196" l="1"/>
  <c r="E457"/>
  <c r="G457" s="1"/>
  <c r="H457" s="1"/>
  <c r="D456" s="1"/>
  <c r="F456" l="1"/>
  <c r="E196"/>
  <c r="G196" s="1"/>
  <c r="H196" s="1"/>
  <c r="D195" s="1"/>
  <c r="F195" l="1"/>
  <c r="E456"/>
  <c r="G456" s="1"/>
  <c r="H456" s="1"/>
  <c r="D455" s="1"/>
  <c r="F455" l="1"/>
  <c r="E195"/>
  <c r="G195" s="1"/>
  <c r="H195" s="1"/>
  <c r="D194" s="1"/>
  <c r="F194" l="1"/>
  <c r="E455"/>
  <c r="G455" s="1"/>
  <c r="H455" s="1"/>
  <c r="D454" s="1"/>
  <c r="F454" l="1"/>
  <c r="E194"/>
  <c r="G194" s="1"/>
  <c r="H194" s="1"/>
  <c r="D193" s="1"/>
  <c r="F193" l="1"/>
  <c r="E454"/>
  <c r="G454" s="1"/>
  <c r="H454" s="1"/>
  <c r="D453" s="1"/>
  <c r="F453" l="1"/>
  <c r="E193"/>
  <c r="G193" s="1"/>
  <c r="H193" s="1"/>
  <c r="D192" s="1"/>
  <c r="F192" l="1"/>
  <c r="E453"/>
  <c r="G453" s="1"/>
  <c r="H453" s="1"/>
  <c r="D452" s="1"/>
  <c r="F452" l="1"/>
  <c r="E192"/>
  <c r="G192" s="1"/>
  <c r="H192" s="1"/>
  <c r="D191" s="1"/>
  <c r="F191" l="1"/>
  <c r="E452"/>
  <c r="G452" s="1"/>
  <c r="H452" s="1"/>
  <c r="D451" s="1"/>
  <c r="F451" l="1"/>
  <c r="E191"/>
  <c r="G191" s="1"/>
  <c r="H191" s="1"/>
  <c r="D190" s="1"/>
  <c r="F190" l="1"/>
  <c r="E451"/>
  <c r="G451" s="1"/>
  <c r="H451" s="1"/>
  <c r="D450" s="1"/>
  <c r="F450" l="1"/>
  <c r="E190"/>
  <c r="G190" s="1"/>
  <c r="H190" s="1"/>
  <c r="D189" s="1"/>
  <c r="F189" l="1"/>
  <c r="E450"/>
  <c r="G450" s="1"/>
  <c r="H450" s="1"/>
  <c r="D449" s="1"/>
  <c r="F449" l="1"/>
  <c r="E189"/>
  <c r="G189" s="1"/>
  <c r="H189" s="1"/>
  <c r="D188" s="1"/>
  <c r="F188" l="1"/>
  <c r="E449"/>
  <c r="G449" s="1"/>
  <c r="H449" s="1"/>
  <c r="D448" s="1"/>
  <c r="F448" l="1"/>
  <c r="E188"/>
  <c r="G188" s="1"/>
  <c r="H188" s="1"/>
  <c r="D187" s="1"/>
  <c r="F187" l="1"/>
  <c r="E448"/>
  <c r="G448" s="1"/>
  <c r="H448" s="1"/>
  <c r="D447" s="1"/>
  <c r="F447" l="1"/>
  <c r="E187"/>
  <c r="G187" s="1"/>
  <c r="H187" s="1"/>
  <c r="D186" s="1"/>
  <c r="F186" l="1"/>
  <c r="E447"/>
  <c r="G447" s="1"/>
  <c r="H447" s="1"/>
  <c r="D446" s="1"/>
  <c r="F446" l="1"/>
  <c r="E186"/>
  <c r="G186" s="1"/>
  <c r="H186" s="1"/>
  <c r="D185" s="1"/>
  <c r="F185" l="1"/>
  <c r="E446"/>
  <c r="G446" s="1"/>
  <c r="H446" s="1"/>
  <c r="D445" s="1"/>
  <c r="F445" l="1"/>
  <c r="E185"/>
  <c r="G185" s="1"/>
  <c r="H185" s="1"/>
  <c r="D184" s="1"/>
  <c r="F184" l="1"/>
  <c r="E445"/>
  <c r="G445" s="1"/>
  <c r="H445" s="1"/>
  <c r="D444" s="1"/>
  <c r="F444" l="1"/>
  <c r="E184"/>
  <c r="G184" s="1"/>
  <c r="H184" s="1"/>
  <c r="D183" s="1"/>
  <c r="F183" l="1"/>
  <c r="E444"/>
  <c r="G444" s="1"/>
  <c r="H444" s="1"/>
  <c r="D443" s="1"/>
  <c r="F443" l="1"/>
  <c r="E183"/>
  <c r="G183" s="1"/>
  <c r="H183" s="1"/>
  <c r="D182" s="1"/>
  <c r="F182" l="1"/>
  <c r="E443"/>
  <c r="G443" s="1"/>
  <c r="H443" s="1"/>
  <c r="D442" s="1"/>
  <c r="F442" l="1"/>
  <c r="E182"/>
  <c r="G182" s="1"/>
  <c r="H182" s="1"/>
  <c r="D181" s="1"/>
  <c r="F181" l="1"/>
  <c r="E442"/>
  <c r="G442" s="1"/>
  <c r="H442" s="1"/>
  <c r="D441" s="1"/>
  <c r="F441" l="1"/>
  <c r="E181"/>
  <c r="G181" s="1"/>
  <c r="H181" s="1"/>
  <c r="D180" s="1"/>
  <c r="F180" l="1"/>
  <c r="E441"/>
  <c r="G441" s="1"/>
  <c r="H441" s="1"/>
  <c r="D440" s="1"/>
  <c r="F440" l="1"/>
  <c r="E180"/>
  <c r="G180" s="1"/>
  <c r="H180" s="1"/>
  <c r="D179" s="1"/>
  <c r="F179" l="1"/>
  <c r="E440"/>
  <c r="G440" s="1"/>
  <c r="H440" s="1"/>
  <c r="D439" s="1"/>
  <c r="F439" l="1"/>
  <c r="E179"/>
  <c r="G179" s="1"/>
  <c r="H179" s="1"/>
  <c r="D178" s="1"/>
  <c r="F178" l="1"/>
  <c r="E439"/>
  <c r="G439" s="1"/>
  <c r="H439" s="1"/>
  <c r="D438" s="1"/>
  <c r="F438" l="1"/>
  <c r="E178"/>
  <c r="G178" s="1"/>
  <c r="H178" s="1"/>
  <c r="D177" s="1"/>
  <c r="F177" l="1"/>
  <c r="E438"/>
  <c r="G438" s="1"/>
  <c r="H438" s="1"/>
  <c r="D437" s="1"/>
  <c r="F437" l="1"/>
  <c r="E177"/>
  <c r="G177" s="1"/>
  <c r="H177" s="1"/>
  <c r="D176" s="1"/>
  <c r="F176" l="1"/>
  <c r="E437"/>
  <c r="G437" s="1"/>
  <c r="H437" s="1"/>
  <c r="D436" s="1"/>
  <c r="F436" l="1"/>
  <c r="E176"/>
  <c r="G176" s="1"/>
  <c r="H176" s="1"/>
  <c r="D175" s="1"/>
  <c r="F175" l="1"/>
  <c r="E436"/>
  <c r="G436" s="1"/>
  <c r="H436" s="1"/>
  <c r="D435" s="1"/>
  <c r="F435" l="1"/>
  <c r="E175"/>
  <c r="G175" s="1"/>
  <c r="H175" s="1"/>
  <c r="D174" s="1"/>
  <c r="F174" l="1"/>
  <c r="E435"/>
  <c r="G435" s="1"/>
  <c r="H435" s="1"/>
  <c r="D434" s="1"/>
  <c r="F434" l="1"/>
  <c r="E174"/>
  <c r="G174" s="1"/>
  <c r="H174" s="1"/>
  <c r="D173" s="1"/>
  <c r="F173" l="1"/>
  <c r="E434"/>
  <c r="G434" s="1"/>
  <c r="H434" s="1"/>
  <c r="D433" s="1"/>
  <c r="F433" l="1"/>
  <c r="E173"/>
  <c r="G173" s="1"/>
  <c r="H173" s="1"/>
  <c r="D172" s="1"/>
  <c r="F172" l="1"/>
  <c r="E433"/>
  <c r="G433" s="1"/>
  <c r="H433" s="1"/>
  <c r="D432" s="1"/>
  <c r="F432" l="1"/>
  <c r="E172"/>
  <c r="G172" s="1"/>
  <c r="H172" s="1"/>
  <c r="D171" s="1"/>
  <c r="F171" l="1"/>
  <c r="E432"/>
  <c r="G432" s="1"/>
  <c r="H432" s="1"/>
  <c r="D431" s="1"/>
  <c r="F431" l="1"/>
  <c r="E171"/>
  <c r="G171" s="1"/>
  <c r="H171" s="1"/>
  <c r="D170" s="1"/>
  <c r="F170" l="1"/>
  <c r="E431"/>
  <c r="G431" s="1"/>
  <c r="H431" s="1"/>
  <c r="D430" s="1"/>
  <c r="F430" l="1"/>
  <c r="E170"/>
  <c r="G170" s="1"/>
  <c r="H170" s="1"/>
  <c r="D169" s="1"/>
  <c r="F169" l="1"/>
  <c r="E430"/>
  <c r="G430" s="1"/>
  <c r="H430" s="1"/>
  <c r="D429" s="1"/>
  <c r="F429" l="1"/>
  <c r="E169"/>
  <c r="G169" s="1"/>
  <c r="H169" s="1"/>
  <c r="D168" s="1"/>
  <c r="F168" l="1"/>
  <c r="E429"/>
  <c r="G429" s="1"/>
  <c r="H429" s="1"/>
  <c r="D428" s="1"/>
  <c r="F428" l="1"/>
  <c r="E168"/>
  <c r="G168" s="1"/>
  <c r="H168" s="1"/>
  <c r="D167" s="1"/>
  <c r="F167" l="1"/>
  <c r="E428"/>
  <c r="G428" s="1"/>
  <c r="H428" s="1"/>
  <c r="D427" s="1"/>
  <c r="F427" l="1"/>
  <c r="E167"/>
  <c r="G167" s="1"/>
  <c r="H167" s="1"/>
  <c r="D166" s="1"/>
  <c r="F166" l="1"/>
  <c r="E427"/>
  <c r="G427" s="1"/>
  <c r="H427" s="1"/>
  <c r="D426" s="1"/>
  <c r="F426" l="1"/>
  <c r="E166"/>
  <c r="G166" s="1"/>
  <c r="H166" s="1"/>
  <c r="D165" s="1"/>
  <c r="F165" l="1"/>
  <c r="E426"/>
  <c r="G426" s="1"/>
  <c r="H426" s="1"/>
  <c r="D425" s="1"/>
  <c r="F425" l="1"/>
  <c r="E165"/>
  <c r="G165" s="1"/>
  <c r="H165" s="1"/>
  <c r="D164" s="1"/>
  <c r="F164" l="1"/>
  <c r="E425"/>
  <c r="G425" s="1"/>
  <c r="H425" s="1"/>
  <c r="D424" s="1"/>
  <c r="F424" l="1"/>
  <c r="E164"/>
  <c r="G164" s="1"/>
  <c r="H164" s="1"/>
  <c r="D163" s="1"/>
  <c r="F163" l="1"/>
  <c r="E424"/>
  <c r="G424" s="1"/>
  <c r="H424" s="1"/>
  <c r="D423" s="1"/>
  <c r="F423" l="1"/>
  <c r="E163"/>
  <c r="G163" s="1"/>
  <c r="H163" s="1"/>
  <c r="D162" s="1"/>
  <c r="F162" l="1"/>
  <c r="E423"/>
  <c r="G423" s="1"/>
  <c r="H423" s="1"/>
  <c r="D422" s="1"/>
  <c r="F422" l="1"/>
  <c r="E162"/>
  <c r="G162" s="1"/>
  <c r="H162" s="1"/>
  <c r="D161" s="1"/>
  <c r="F161" l="1"/>
  <c r="E422"/>
  <c r="G422" s="1"/>
  <c r="H422" s="1"/>
  <c r="D421" s="1"/>
  <c r="F421" l="1"/>
  <c r="E161"/>
  <c r="G161" s="1"/>
  <c r="H161" s="1"/>
  <c r="D160" s="1"/>
  <c r="F160" l="1"/>
  <c r="E421"/>
  <c r="G421" s="1"/>
  <c r="H421" s="1"/>
  <c r="D420" s="1"/>
  <c r="F420" l="1"/>
  <c r="E160"/>
  <c r="G160" s="1"/>
  <c r="H160" s="1"/>
  <c r="D159" s="1"/>
  <c r="F159" l="1"/>
  <c r="E420"/>
  <c r="G420" s="1"/>
  <c r="H420" s="1"/>
  <c r="D419" s="1"/>
  <c r="F419" l="1"/>
  <c r="E159"/>
  <c r="G159" s="1"/>
  <c r="H159" s="1"/>
  <c r="D158" s="1"/>
  <c r="F158" l="1"/>
  <c r="E419"/>
  <c r="G419" s="1"/>
  <c r="H419" s="1"/>
  <c r="D418" s="1"/>
  <c r="F418" l="1"/>
  <c r="E158"/>
  <c r="G158" s="1"/>
  <c r="H158" s="1"/>
  <c r="D157" s="1"/>
  <c r="F157" l="1"/>
  <c r="E418"/>
  <c r="G418" s="1"/>
  <c r="H418" s="1"/>
  <c r="D417" s="1"/>
  <c r="F417" l="1"/>
  <c r="E157"/>
  <c r="G157" s="1"/>
  <c r="H157" s="1"/>
  <c r="D156" s="1"/>
  <c r="F156" l="1"/>
  <c r="E417"/>
  <c r="G417" s="1"/>
  <c r="H417" s="1"/>
  <c r="D416" s="1"/>
  <c r="F416" l="1"/>
  <c r="E156"/>
  <c r="G156" s="1"/>
  <c r="H156" s="1"/>
  <c r="D155" s="1"/>
  <c r="F155" l="1"/>
  <c r="E416"/>
  <c r="G416" s="1"/>
  <c r="H416" s="1"/>
  <c r="D415" s="1"/>
  <c r="F415" l="1"/>
  <c r="E155"/>
  <c r="G155" s="1"/>
  <c r="H155" s="1"/>
  <c r="D154" s="1"/>
  <c r="F154" l="1"/>
  <c r="E415"/>
  <c r="G415" s="1"/>
  <c r="H415" s="1"/>
  <c r="D414" s="1"/>
  <c r="F414" l="1"/>
  <c r="E154"/>
  <c r="G154" s="1"/>
  <c r="H154" s="1"/>
  <c r="D153" s="1"/>
  <c r="F153" l="1"/>
  <c r="E414"/>
  <c r="G414" s="1"/>
  <c r="H414" s="1"/>
  <c r="D413" s="1"/>
  <c r="F413" l="1"/>
  <c r="E153"/>
  <c r="G153" s="1"/>
  <c r="H153" s="1"/>
  <c r="D152" s="1"/>
  <c r="F152" l="1"/>
  <c r="E413"/>
  <c r="G413" s="1"/>
  <c r="H413" s="1"/>
  <c r="D412" s="1"/>
  <c r="F412" l="1"/>
  <c r="E152"/>
  <c r="G152" s="1"/>
  <c r="H152" s="1"/>
  <c r="D151" s="1"/>
  <c r="F151" l="1"/>
  <c r="E412"/>
  <c r="G412" s="1"/>
  <c r="H412" s="1"/>
  <c r="D411" s="1"/>
  <c r="F411" l="1"/>
  <c r="E151"/>
  <c r="G151" s="1"/>
  <c r="H151" s="1"/>
  <c r="D150" s="1"/>
  <c r="F150" l="1"/>
  <c r="E411"/>
  <c r="G411" s="1"/>
  <c r="H411" s="1"/>
  <c r="D410" s="1"/>
  <c r="F410" l="1"/>
  <c r="E150"/>
  <c r="G150" s="1"/>
  <c r="H150" s="1"/>
  <c r="D149" s="1"/>
  <c r="F149" l="1"/>
  <c r="E410"/>
  <c r="G410" s="1"/>
  <c r="H410" s="1"/>
  <c r="D409" s="1"/>
  <c r="F409" l="1"/>
  <c r="E149"/>
  <c r="G149" s="1"/>
  <c r="H149" s="1"/>
  <c r="D148" s="1"/>
  <c r="F148" l="1"/>
  <c r="E409"/>
  <c r="G409" s="1"/>
  <c r="H409" s="1"/>
  <c r="D408" s="1"/>
  <c r="F408" l="1"/>
  <c r="E148"/>
  <c r="G148" s="1"/>
  <c r="H148" s="1"/>
  <c r="D147" s="1"/>
  <c r="F147" l="1"/>
  <c r="E408"/>
  <c r="G408" s="1"/>
  <c r="H408" s="1"/>
  <c r="D407" s="1"/>
  <c r="F407" l="1"/>
  <c r="E147"/>
  <c r="G147" s="1"/>
  <c r="H147" s="1"/>
  <c r="D146" s="1"/>
  <c r="F146" l="1"/>
  <c r="E407"/>
  <c r="G407" s="1"/>
  <c r="H407" s="1"/>
  <c r="D406" s="1"/>
  <c r="F406" l="1"/>
  <c r="E146"/>
  <c r="G146" s="1"/>
  <c r="H146" s="1"/>
  <c r="D145" s="1"/>
  <c r="F145" l="1"/>
  <c r="E406"/>
  <c r="G406" s="1"/>
  <c r="H406" s="1"/>
  <c r="D405" s="1"/>
  <c r="F405" l="1"/>
  <c r="E145"/>
  <c r="G145" s="1"/>
  <c r="H145" s="1"/>
  <c r="D144" s="1"/>
  <c r="F144" l="1"/>
  <c r="E405"/>
  <c r="G405" s="1"/>
  <c r="H405" s="1"/>
  <c r="D404" s="1"/>
  <c r="F404" l="1"/>
  <c r="E144"/>
  <c r="G144" s="1"/>
  <c r="H144" s="1"/>
  <c r="D143" s="1"/>
  <c r="F143" l="1"/>
  <c r="E404"/>
  <c r="G404" s="1"/>
  <c r="H404" s="1"/>
  <c r="D403" s="1"/>
  <c r="F403" l="1"/>
  <c r="E143"/>
  <c r="G143" s="1"/>
  <c r="H143" s="1"/>
  <c r="D142" s="1"/>
  <c r="F142" l="1"/>
  <c r="E403"/>
  <c r="G403" s="1"/>
  <c r="H403" s="1"/>
  <c r="D402" s="1"/>
  <c r="F402" l="1"/>
  <c r="E142"/>
  <c r="G142" s="1"/>
  <c r="H142" s="1"/>
  <c r="D141" s="1"/>
  <c r="F141" l="1"/>
  <c r="E402"/>
  <c r="G402" s="1"/>
  <c r="H402" s="1"/>
  <c r="D401" s="1"/>
  <c r="F401" l="1"/>
  <c r="E141"/>
  <c r="G141" s="1"/>
  <c r="H141" s="1"/>
  <c r="D140" s="1"/>
  <c r="F140" l="1"/>
  <c r="E401"/>
  <c r="G401" s="1"/>
  <c r="H401" s="1"/>
  <c r="D400" s="1"/>
  <c r="F400" l="1"/>
  <c r="E140"/>
  <c r="G140" s="1"/>
  <c r="H140" s="1"/>
  <c r="D139" s="1"/>
  <c r="F139" l="1"/>
  <c r="E400"/>
  <c r="G400" s="1"/>
  <c r="H400" s="1"/>
  <c r="D399" s="1"/>
  <c r="F399" l="1"/>
  <c r="E139"/>
  <c r="G139" s="1"/>
  <c r="H139" s="1"/>
  <c r="D138" s="1"/>
  <c r="F138" l="1"/>
  <c r="E399"/>
  <c r="G399" s="1"/>
  <c r="H399" s="1"/>
  <c r="D398" s="1"/>
  <c r="F398" l="1"/>
  <c r="E138"/>
  <c r="G138" s="1"/>
  <c r="H138" s="1"/>
  <c r="D137" s="1"/>
  <c r="F137" l="1"/>
  <c r="E398"/>
  <c r="G398" s="1"/>
  <c r="H398" s="1"/>
  <c r="D397" s="1"/>
  <c r="F397" l="1"/>
  <c r="E137"/>
  <c r="G137" s="1"/>
  <c r="H137" s="1"/>
  <c r="D136" s="1"/>
  <c r="F136" l="1"/>
  <c r="E397"/>
  <c r="G397" s="1"/>
  <c r="H397" s="1"/>
  <c r="D396" s="1"/>
  <c r="F396" l="1"/>
  <c r="E136"/>
  <c r="G136" s="1"/>
  <c r="H136" s="1"/>
  <c r="D135" s="1"/>
  <c r="F135" l="1"/>
  <c r="E396"/>
  <c r="G396" s="1"/>
  <c r="H396" s="1"/>
  <c r="D395" s="1"/>
  <c r="F395" l="1"/>
  <c r="E135"/>
  <c r="G135" s="1"/>
  <c r="H135" s="1"/>
  <c r="D134" s="1"/>
  <c r="F134" l="1"/>
  <c r="E395"/>
  <c r="G395" s="1"/>
  <c r="H395" s="1"/>
  <c r="D394" s="1"/>
  <c r="F394" l="1"/>
  <c r="E134"/>
  <c r="G134" s="1"/>
  <c r="H134" s="1"/>
  <c r="D133" s="1"/>
  <c r="F133" l="1"/>
  <c r="E394"/>
  <c r="G394" s="1"/>
  <c r="H394" s="1"/>
  <c r="D393" s="1"/>
  <c r="F393" l="1"/>
  <c r="E133"/>
  <c r="G133" s="1"/>
  <c r="H133" s="1"/>
  <c r="D132" s="1"/>
  <c r="F132" l="1"/>
  <c r="E393"/>
  <c r="G393" s="1"/>
  <c r="H393" s="1"/>
  <c r="Q57" i="2" l="1"/>
  <c r="F76"/>
  <c r="F80"/>
  <c r="F75"/>
  <c r="F79"/>
  <c r="F78"/>
  <c r="F77"/>
  <c r="D392" i="5"/>
  <c r="E132"/>
  <c r="G132" s="1"/>
  <c r="H132" s="1"/>
  <c r="F19" i="1" s="1"/>
  <c r="H19" l="1"/>
  <c r="G19"/>
  <c r="F23"/>
  <c r="F22"/>
  <c r="F21"/>
  <c r="F20"/>
  <c r="D131" i="5"/>
  <c r="Q100" i="2"/>
  <c r="P100"/>
  <c r="O100"/>
  <c r="O99" s="1"/>
  <c r="H77"/>
  <c r="I77"/>
  <c r="G77"/>
  <c r="G78"/>
  <c r="H78"/>
  <c r="I78" s="1"/>
  <c r="H79"/>
  <c r="G79"/>
  <c r="H75"/>
  <c r="G75"/>
  <c r="H80"/>
  <c r="G80"/>
  <c r="H76"/>
  <c r="G76"/>
  <c r="F392" i="5"/>
  <c r="P99" i="2" l="1"/>
  <c r="Q99"/>
  <c r="G20" i="1"/>
  <c r="H20"/>
  <c r="H21"/>
  <c r="G21"/>
  <c r="Q47"/>
  <c r="P47"/>
  <c r="O47"/>
  <c r="O46" s="1"/>
  <c r="G22"/>
  <c r="H22"/>
  <c r="I22" s="1"/>
  <c r="H23"/>
  <c r="G23"/>
  <c r="I23"/>
  <c r="E392" i="5"/>
  <c r="G392" s="1"/>
  <c r="H392" s="1"/>
  <c r="D391" s="1"/>
  <c r="F131"/>
  <c r="P46" i="1" l="1"/>
  <c r="Q46"/>
  <c r="F391" i="5"/>
  <c r="E131"/>
  <c r="G131" s="1"/>
  <c r="H131" s="1"/>
  <c r="D130" s="1"/>
  <c r="F130" l="1"/>
  <c r="E391"/>
  <c r="G391" s="1"/>
  <c r="H391" s="1"/>
  <c r="D390" s="1"/>
  <c r="F390" l="1"/>
  <c r="E130"/>
  <c r="G130" s="1"/>
  <c r="H130" s="1"/>
  <c r="D129" s="1"/>
  <c r="F129" l="1"/>
  <c r="E390"/>
  <c r="G390" s="1"/>
  <c r="H390" s="1"/>
  <c r="D389" s="1"/>
  <c r="F389" l="1"/>
  <c r="E129"/>
  <c r="G129" s="1"/>
  <c r="H129" s="1"/>
  <c r="D128" s="1"/>
  <c r="F128" l="1"/>
  <c r="E389"/>
  <c r="G389" s="1"/>
  <c r="H389" s="1"/>
  <c r="D388" s="1"/>
  <c r="F388" l="1"/>
  <c r="E128"/>
  <c r="G128" s="1"/>
  <c r="H128" s="1"/>
  <c r="D127" s="1"/>
  <c r="F127" l="1"/>
  <c r="E388"/>
  <c r="G388" s="1"/>
  <c r="H388" s="1"/>
  <c r="D387" s="1"/>
  <c r="F387" l="1"/>
  <c r="E127"/>
  <c r="G127" s="1"/>
  <c r="H127" s="1"/>
  <c r="D126" s="1"/>
  <c r="F126" l="1"/>
  <c r="E387"/>
  <c r="G387" s="1"/>
  <c r="H387" s="1"/>
  <c r="D386" s="1"/>
  <c r="F386" l="1"/>
  <c r="E126"/>
  <c r="G126" s="1"/>
  <c r="H126" s="1"/>
  <c r="D125" s="1"/>
  <c r="F125" l="1"/>
  <c r="E386"/>
  <c r="G386" s="1"/>
  <c r="H386" s="1"/>
  <c r="D385" s="1"/>
  <c r="F385" l="1"/>
  <c r="E125"/>
  <c r="G125" s="1"/>
  <c r="H125" s="1"/>
  <c r="D124" s="1"/>
  <c r="F124" l="1"/>
  <c r="E385"/>
  <c r="G385" s="1"/>
  <c r="H385" s="1"/>
  <c r="D384" s="1"/>
  <c r="F384" l="1"/>
  <c r="E124"/>
  <c r="G124" s="1"/>
  <c r="H124" s="1"/>
  <c r="D123" s="1"/>
  <c r="F123" l="1"/>
  <c r="E384"/>
  <c r="G384" s="1"/>
  <c r="H384" s="1"/>
  <c r="D383" s="1"/>
  <c r="F383" l="1"/>
  <c r="E123"/>
  <c r="G123" s="1"/>
  <c r="H123" s="1"/>
  <c r="D122" s="1"/>
  <c r="F122" l="1"/>
  <c r="E383"/>
  <c r="G383" s="1"/>
  <c r="H383" s="1"/>
  <c r="D382" s="1"/>
  <c r="F382" l="1"/>
  <c r="E122"/>
  <c r="G122" s="1"/>
  <c r="H122" s="1"/>
  <c r="D121" s="1"/>
  <c r="F121" l="1"/>
  <c r="E382"/>
  <c r="G382" s="1"/>
  <c r="H382" s="1"/>
  <c r="D381" s="1"/>
  <c r="F381" l="1"/>
  <c r="E121"/>
  <c r="G121" s="1"/>
  <c r="H121" s="1"/>
  <c r="D120" s="1"/>
  <c r="F120" l="1"/>
  <c r="E381"/>
  <c r="G381" s="1"/>
  <c r="H381" s="1"/>
  <c r="D380" s="1"/>
  <c r="F380" l="1"/>
  <c r="E120"/>
  <c r="G120" s="1"/>
  <c r="H120" s="1"/>
  <c r="D119" s="1"/>
  <c r="F119" l="1"/>
  <c r="E380"/>
  <c r="G380" s="1"/>
  <c r="H380" s="1"/>
  <c r="D379" s="1"/>
  <c r="F379" l="1"/>
  <c r="E119"/>
  <c r="G119" s="1"/>
  <c r="H119" s="1"/>
  <c r="D118" s="1"/>
  <c r="F118" l="1"/>
  <c r="E379"/>
  <c r="G379" s="1"/>
  <c r="H379" s="1"/>
  <c r="D378" s="1"/>
  <c r="F378" l="1"/>
  <c r="E118"/>
  <c r="G118" s="1"/>
  <c r="H118" s="1"/>
  <c r="D117" s="1"/>
  <c r="F117" l="1"/>
  <c r="E378"/>
  <c r="G378" s="1"/>
  <c r="H378" s="1"/>
  <c r="D377" s="1"/>
  <c r="F377" l="1"/>
  <c r="E117"/>
  <c r="G117" s="1"/>
  <c r="H117" s="1"/>
  <c r="D116" s="1"/>
  <c r="F116" l="1"/>
  <c r="E377"/>
  <c r="G377" s="1"/>
  <c r="H377" s="1"/>
  <c r="D376" s="1"/>
  <c r="F376" l="1"/>
  <c r="E116"/>
  <c r="G116" s="1"/>
  <c r="H116" s="1"/>
  <c r="D115" s="1"/>
  <c r="F115" l="1"/>
  <c r="E376"/>
  <c r="G376" s="1"/>
  <c r="H376" s="1"/>
  <c r="D375" s="1"/>
  <c r="F375" l="1"/>
  <c r="E115"/>
  <c r="G115" s="1"/>
  <c r="H115" s="1"/>
  <c r="D114" s="1"/>
  <c r="F114" l="1"/>
  <c r="E375"/>
  <c r="G375" s="1"/>
  <c r="H375" s="1"/>
  <c r="D374" s="1"/>
  <c r="F374" l="1"/>
  <c r="E114"/>
  <c r="G114" s="1"/>
  <c r="H114" s="1"/>
  <c r="D113" s="1"/>
  <c r="F113" l="1"/>
  <c r="E374"/>
  <c r="G374" s="1"/>
  <c r="H374" s="1"/>
  <c r="D373" s="1"/>
  <c r="F373" l="1"/>
  <c r="E113"/>
  <c r="G113" s="1"/>
  <c r="H113" s="1"/>
  <c r="D112" s="1"/>
  <c r="F112" l="1"/>
  <c r="E373"/>
  <c r="G373" s="1"/>
  <c r="H373" s="1"/>
  <c r="D372" s="1"/>
  <c r="F372" l="1"/>
  <c r="E112"/>
  <c r="G112" s="1"/>
  <c r="H112" s="1"/>
  <c r="D111" s="1"/>
  <c r="F111" l="1"/>
  <c r="E372"/>
  <c r="G372" s="1"/>
  <c r="H372" s="1"/>
  <c r="D371" s="1"/>
  <c r="F371" l="1"/>
  <c r="E111"/>
  <c r="G111" s="1"/>
  <c r="H111" s="1"/>
  <c r="D110" s="1"/>
  <c r="F110" l="1"/>
  <c r="E371"/>
  <c r="G371" s="1"/>
  <c r="H371" s="1"/>
  <c r="D370" s="1"/>
  <c r="F370" l="1"/>
  <c r="E110"/>
  <c r="G110" s="1"/>
  <c r="H110" s="1"/>
  <c r="D109" s="1"/>
  <c r="F109" l="1"/>
  <c r="E370"/>
  <c r="G370" s="1"/>
  <c r="H370" s="1"/>
  <c r="D369" s="1"/>
  <c r="F369" l="1"/>
  <c r="E109"/>
  <c r="G109" s="1"/>
  <c r="H109" s="1"/>
  <c r="D108" s="1"/>
  <c r="F108" l="1"/>
  <c r="E369"/>
  <c r="G369" s="1"/>
  <c r="H369" s="1"/>
  <c r="D368" s="1"/>
  <c r="F368" l="1"/>
  <c r="E108"/>
  <c r="G108" s="1"/>
  <c r="H108" s="1"/>
  <c r="D107" s="1"/>
  <c r="F107" l="1"/>
  <c r="E368"/>
  <c r="G368" s="1"/>
  <c r="H368" s="1"/>
  <c r="D367" s="1"/>
  <c r="F367" l="1"/>
  <c r="E107"/>
  <c r="G107" s="1"/>
  <c r="H107" s="1"/>
  <c r="D106" s="1"/>
  <c r="F106" l="1"/>
  <c r="E367"/>
  <c r="G367" s="1"/>
  <c r="H367" s="1"/>
  <c r="D366" s="1"/>
  <c r="F366" l="1"/>
  <c r="E106"/>
  <c r="G106" s="1"/>
  <c r="H106" s="1"/>
  <c r="D105" s="1"/>
  <c r="F105" l="1"/>
  <c r="E366"/>
  <c r="G366" s="1"/>
  <c r="H366" s="1"/>
  <c r="D365" s="1"/>
  <c r="F365" l="1"/>
  <c r="E105"/>
  <c r="G105" s="1"/>
  <c r="H105" s="1"/>
  <c r="D104" s="1"/>
  <c r="F104" l="1"/>
  <c r="E365"/>
  <c r="G365" s="1"/>
  <c r="H365" s="1"/>
  <c r="D364" s="1"/>
  <c r="F364" l="1"/>
  <c r="E104"/>
  <c r="G104" s="1"/>
  <c r="H104" s="1"/>
  <c r="D103" s="1"/>
  <c r="F103" l="1"/>
  <c r="E364"/>
  <c r="G364" s="1"/>
  <c r="H364" s="1"/>
  <c r="D363" s="1"/>
  <c r="F363" l="1"/>
  <c r="E103"/>
  <c r="G103" s="1"/>
  <c r="H103" s="1"/>
  <c r="D102" s="1"/>
  <c r="F102" l="1"/>
  <c r="E363"/>
  <c r="G363" s="1"/>
  <c r="H363" s="1"/>
  <c r="D362" s="1"/>
  <c r="F362" l="1"/>
  <c r="E102"/>
  <c r="G102" s="1"/>
  <c r="H102" s="1"/>
  <c r="D101" s="1"/>
  <c r="F101" l="1"/>
  <c r="E362"/>
  <c r="G362" s="1"/>
  <c r="H362" s="1"/>
  <c r="D361" s="1"/>
  <c r="F361" l="1"/>
  <c r="E101"/>
  <c r="G101" s="1"/>
  <c r="H101" s="1"/>
  <c r="D100" s="1"/>
  <c r="F100" l="1"/>
  <c r="E361"/>
  <c r="G361" s="1"/>
  <c r="H361" s="1"/>
  <c r="D360" s="1"/>
  <c r="F360" l="1"/>
  <c r="E100"/>
  <c r="G100" s="1"/>
  <c r="H100" s="1"/>
  <c r="D99" s="1"/>
  <c r="F99" l="1"/>
  <c r="E360"/>
  <c r="G360" s="1"/>
  <c r="H360" s="1"/>
  <c r="D359" s="1"/>
  <c r="F359" l="1"/>
  <c r="E99"/>
  <c r="G99" s="1"/>
  <c r="H99" s="1"/>
  <c r="D98" s="1"/>
  <c r="F98" l="1"/>
  <c r="E359"/>
  <c r="G359" s="1"/>
  <c r="H359" s="1"/>
  <c r="D358" s="1"/>
  <c r="F358" l="1"/>
  <c r="E98"/>
  <c r="G98" s="1"/>
  <c r="H98" s="1"/>
  <c r="D97" s="1"/>
  <c r="F97" l="1"/>
  <c r="E358"/>
  <c r="G358" s="1"/>
  <c r="H358" s="1"/>
  <c r="D357" s="1"/>
  <c r="F357" l="1"/>
  <c r="E97"/>
  <c r="G97" s="1"/>
  <c r="H97" s="1"/>
  <c r="D96" s="1"/>
  <c r="F96" l="1"/>
  <c r="E357"/>
  <c r="G357" s="1"/>
  <c r="H357" s="1"/>
  <c r="D356" s="1"/>
  <c r="F356" l="1"/>
  <c r="E96"/>
  <c r="G96" s="1"/>
  <c r="H96" s="1"/>
  <c r="D95" s="1"/>
  <c r="F95" l="1"/>
  <c r="E356"/>
  <c r="G356" s="1"/>
  <c r="H356" s="1"/>
  <c r="D355" s="1"/>
  <c r="F355" l="1"/>
  <c r="E95"/>
  <c r="G95" s="1"/>
  <c r="H95" s="1"/>
  <c r="D94" s="1"/>
  <c r="F94" l="1"/>
  <c r="E355"/>
  <c r="G355" s="1"/>
  <c r="H355" s="1"/>
  <c r="D354" s="1"/>
  <c r="F354" l="1"/>
  <c r="E94"/>
  <c r="G94" s="1"/>
  <c r="H94" s="1"/>
  <c r="D93" s="1"/>
  <c r="F93" l="1"/>
  <c r="E354"/>
  <c r="G354" s="1"/>
  <c r="H354" s="1"/>
  <c r="D353" s="1"/>
  <c r="F353" l="1"/>
  <c r="E93"/>
  <c r="G93" s="1"/>
  <c r="H93" s="1"/>
  <c r="D92" s="1"/>
  <c r="F92" l="1"/>
  <c r="E353"/>
  <c r="G353" s="1"/>
  <c r="H353" s="1"/>
  <c r="D352" s="1"/>
  <c r="F352" l="1"/>
  <c r="E92"/>
  <c r="G92" s="1"/>
  <c r="H92" s="1"/>
  <c r="D91" s="1"/>
  <c r="F91" l="1"/>
  <c r="E352"/>
  <c r="G352" s="1"/>
  <c r="H352" s="1"/>
  <c r="D351" s="1"/>
  <c r="F351" l="1"/>
  <c r="E91"/>
  <c r="G91" s="1"/>
  <c r="H91" s="1"/>
  <c r="D90" s="1"/>
  <c r="F90" l="1"/>
  <c r="E351"/>
  <c r="G351" s="1"/>
  <c r="H351" s="1"/>
  <c r="D350" s="1"/>
  <c r="F350" l="1"/>
  <c r="E90"/>
  <c r="G90" s="1"/>
  <c r="H90" s="1"/>
  <c r="D89" s="1"/>
  <c r="F89" l="1"/>
  <c r="E350"/>
  <c r="G350" s="1"/>
  <c r="H350" s="1"/>
  <c r="D349" s="1"/>
  <c r="F349" l="1"/>
  <c r="E89"/>
  <c r="G89" s="1"/>
  <c r="H89" s="1"/>
  <c r="D88" s="1"/>
  <c r="F88" l="1"/>
  <c r="E349"/>
  <c r="G349" s="1"/>
  <c r="H349" s="1"/>
  <c r="D348" s="1"/>
  <c r="F348" l="1"/>
  <c r="E88"/>
  <c r="G88" s="1"/>
  <c r="H88" s="1"/>
  <c r="D87" s="1"/>
  <c r="F87" l="1"/>
  <c r="E348"/>
  <c r="G348" s="1"/>
  <c r="H348" s="1"/>
  <c r="D347" s="1"/>
  <c r="F347" l="1"/>
  <c r="E87"/>
  <c r="G87" s="1"/>
  <c r="H87" s="1"/>
  <c r="D86" s="1"/>
  <c r="F86" l="1"/>
  <c r="E347"/>
  <c r="G347" s="1"/>
  <c r="H347" s="1"/>
  <c r="D346" s="1"/>
  <c r="F346" l="1"/>
  <c r="E86"/>
  <c r="G86" s="1"/>
  <c r="H86" s="1"/>
  <c r="D85" s="1"/>
  <c r="F85" l="1"/>
  <c r="E346"/>
  <c r="G346" s="1"/>
  <c r="H346" s="1"/>
  <c r="D345" s="1"/>
  <c r="F345" l="1"/>
  <c r="E85"/>
  <c r="G85" s="1"/>
  <c r="H85" s="1"/>
  <c r="D84" s="1"/>
  <c r="F84" l="1"/>
  <c r="E345"/>
  <c r="G345" s="1"/>
  <c r="H345" s="1"/>
  <c r="D344" s="1"/>
  <c r="F344" l="1"/>
  <c r="E84"/>
  <c r="G84" s="1"/>
  <c r="H84" s="1"/>
  <c r="D83" s="1"/>
  <c r="F83" l="1"/>
  <c r="E344"/>
  <c r="G344" s="1"/>
  <c r="H344" s="1"/>
  <c r="D343" s="1"/>
  <c r="F343" l="1"/>
  <c r="E83"/>
  <c r="G83" s="1"/>
  <c r="H83" s="1"/>
  <c r="D82" s="1"/>
  <c r="F82" l="1"/>
  <c r="E343"/>
  <c r="G343" s="1"/>
  <c r="H343" s="1"/>
  <c r="D342" s="1"/>
  <c r="F342" l="1"/>
  <c r="E82"/>
  <c r="G82" s="1"/>
  <c r="H82" s="1"/>
  <c r="D81" s="1"/>
  <c r="F81" l="1"/>
  <c r="E342"/>
  <c r="G342" s="1"/>
  <c r="H342" s="1"/>
  <c r="D341" s="1"/>
  <c r="F341" l="1"/>
  <c r="E81"/>
  <c r="G81" s="1"/>
  <c r="H81" s="1"/>
  <c r="D80" s="1"/>
  <c r="F80" l="1"/>
  <c r="E341"/>
  <c r="G341" s="1"/>
  <c r="H341" s="1"/>
  <c r="D340" s="1"/>
  <c r="F340" l="1"/>
  <c r="E80"/>
  <c r="G80" s="1"/>
  <c r="H80" s="1"/>
  <c r="D79" s="1"/>
  <c r="F79" l="1"/>
  <c r="E340"/>
  <c r="G340" s="1"/>
  <c r="H340" s="1"/>
  <c r="D339" s="1"/>
  <c r="F339" l="1"/>
  <c r="E79"/>
  <c r="G79" s="1"/>
  <c r="H79" s="1"/>
  <c r="D78" s="1"/>
  <c r="F78" l="1"/>
  <c r="E339"/>
  <c r="G339" s="1"/>
  <c r="H339" s="1"/>
  <c r="D338" s="1"/>
  <c r="F338" l="1"/>
  <c r="E78"/>
  <c r="G78" s="1"/>
  <c r="H78" s="1"/>
  <c r="D77" s="1"/>
  <c r="F77" l="1"/>
  <c r="E338"/>
  <c r="G338" s="1"/>
  <c r="H338" s="1"/>
  <c r="D337" s="1"/>
  <c r="F337" l="1"/>
  <c r="E77"/>
  <c r="G77" s="1"/>
  <c r="H77" s="1"/>
  <c r="D76" s="1"/>
  <c r="F76" l="1"/>
  <c r="E337"/>
  <c r="G337" s="1"/>
  <c r="H337" s="1"/>
  <c r="D336" s="1"/>
  <c r="F336" l="1"/>
  <c r="E76"/>
  <c r="G76" s="1"/>
  <c r="H76" s="1"/>
  <c r="D75" s="1"/>
  <c r="F75" l="1"/>
  <c r="E336"/>
  <c r="G336" s="1"/>
  <c r="H336" s="1"/>
  <c r="D335" s="1"/>
  <c r="F335" l="1"/>
  <c r="E75"/>
  <c r="G75" s="1"/>
  <c r="H75" s="1"/>
  <c r="D74" s="1"/>
  <c r="F74" l="1"/>
  <c r="E335"/>
  <c r="G335" s="1"/>
  <c r="H335" s="1"/>
  <c r="D334" s="1"/>
  <c r="F334" l="1"/>
  <c r="E74"/>
  <c r="G74" s="1"/>
  <c r="H74" s="1"/>
  <c r="D73" s="1"/>
  <c r="F73" l="1"/>
  <c r="E334"/>
  <c r="G334" s="1"/>
  <c r="H334" s="1"/>
  <c r="D333" s="1"/>
  <c r="F333" l="1"/>
  <c r="E73"/>
  <c r="G73" s="1"/>
  <c r="H73" s="1"/>
  <c r="D72" s="1"/>
  <c r="F72" l="1"/>
  <c r="E333"/>
  <c r="G333" s="1"/>
  <c r="H333" s="1"/>
  <c r="D332" s="1"/>
  <c r="F332" l="1"/>
  <c r="E72"/>
  <c r="G72" s="1"/>
  <c r="H72" s="1"/>
  <c r="D71" s="1"/>
  <c r="F71" l="1"/>
  <c r="E332"/>
  <c r="G332" s="1"/>
  <c r="H332" s="1"/>
  <c r="D331" s="1"/>
  <c r="F331" l="1"/>
  <c r="E71"/>
  <c r="G71" s="1"/>
  <c r="H71" s="1"/>
  <c r="D70" s="1"/>
  <c r="F70" l="1"/>
  <c r="E331"/>
  <c r="G331" s="1"/>
  <c r="H331" s="1"/>
  <c r="D330" s="1"/>
  <c r="F330" l="1"/>
  <c r="E70"/>
  <c r="G70" s="1"/>
  <c r="H70" s="1"/>
  <c r="D69" s="1"/>
  <c r="F69" l="1"/>
  <c r="E330"/>
  <c r="G330" s="1"/>
  <c r="H330" s="1"/>
  <c r="F81" i="2" l="1"/>
  <c r="D329" i="5"/>
  <c r="E69"/>
  <c r="G69" s="1"/>
  <c r="H69" s="1"/>
  <c r="F24" i="1" l="1"/>
  <c r="F25"/>
  <c r="F26"/>
  <c r="D68" i="5"/>
  <c r="F329"/>
  <c r="H81" i="2"/>
  <c r="G81"/>
  <c r="H25" i="1" l="1"/>
  <c r="G25"/>
  <c r="H24"/>
  <c r="G24"/>
  <c r="E329" i="5"/>
  <c r="G329" s="1"/>
  <c r="H329" s="1"/>
  <c r="D328" s="1"/>
  <c r="F68"/>
  <c r="H26" i="1"/>
  <c r="G26"/>
  <c r="F328" i="5" l="1"/>
  <c r="E68"/>
  <c r="G68" s="1"/>
  <c r="H68" s="1"/>
  <c r="D67" s="1"/>
  <c r="F67" l="1"/>
  <c r="E328"/>
  <c r="G328" s="1"/>
  <c r="H328" s="1"/>
  <c r="D327" s="1"/>
  <c r="F327" l="1"/>
  <c r="E67"/>
  <c r="G67" s="1"/>
  <c r="H67" s="1"/>
  <c r="D66" s="1"/>
  <c r="F66" l="1"/>
  <c r="E327"/>
  <c r="G327" s="1"/>
  <c r="H327" s="1"/>
  <c r="D326" s="1"/>
  <c r="F326" l="1"/>
  <c r="E66"/>
  <c r="G66" s="1"/>
  <c r="H66" s="1"/>
  <c r="D65" s="1"/>
  <c r="F65" l="1"/>
  <c r="E326"/>
  <c r="G326" s="1"/>
  <c r="H326" s="1"/>
  <c r="D325" s="1"/>
  <c r="F325" l="1"/>
  <c r="E65"/>
  <c r="G65" s="1"/>
  <c r="H65" s="1"/>
  <c r="D64" s="1"/>
  <c r="F64" l="1"/>
  <c r="E325"/>
  <c r="G325" s="1"/>
  <c r="H325" s="1"/>
  <c r="D324" s="1"/>
  <c r="F324" l="1"/>
  <c r="E64"/>
  <c r="G64" s="1"/>
  <c r="H64" s="1"/>
  <c r="D63" s="1"/>
  <c r="F63" l="1"/>
  <c r="E324"/>
  <c r="G324" s="1"/>
  <c r="H324" s="1"/>
  <c r="D323" s="1"/>
  <c r="F323" l="1"/>
  <c r="E63"/>
  <c r="G63" s="1"/>
  <c r="H63" s="1"/>
  <c r="D62" s="1"/>
  <c r="F62" l="1"/>
  <c r="E323"/>
  <c r="G323" s="1"/>
  <c r="H323" s="1"/>
  <c r="D322" s="1"/>
  <c r="F322" l="1"/>
  <c r="E62"/>
  <c r="G62" s="1"/>
  <c r="H62" s="1"/>
  <c r="D61" s="1"/>
  <c r="F61" l="1"/>
  <c r="E322"/>
  <c r="G322" s="1"/>
  <c r="H322" s="1"/>
  <c r="D321" s="1"/>
  <c r="F321" l="1"/>
  <c r="E61"/>
  <c r="G61" s="1"/>
  <c r="H61" s="1"/>
  <c r="D60" s="1"/>
  <c r="F60" l="1"/>
  <c r="E321"/>
  <c r="G321" s="1"/>
  <c r="H321" s="1"/>
  <c r="D320" s="1"/>
  <c r="F320" l="1"/>
  <c r="E60"/>
  <c r="G60" s="1"/>
  <c r="H60" s="1"/>
  <c r="D59" s="1"/>
  <c r="F59" l="1"/>
  <c r="E320"/>
  <c r="G320" s="1"/>
  <c r="H320" s="1"/>
  <c r="D319" s="1"/>
  <c r="F319" l="1"/>
  <c r="E59"/>
  <c r="G59" s="1"/>
  <c r="H59" s="1"/>
  <c r="D58" s="1"/>
  <c r="F58" l="1"/>
  <c r="E319"/>
  <c r="G319" s="1"/>
  <c r="H319" s="1"/>
  <c r="D318" s="1"/>
  <c r="F318" l="1"/>
  <c r="E58"/>
  <c r="G58" s="1"/>
  <c r="H58" s="1"/>
  <c r="D57" s="1"/>
  <c r="F57" l="1"/>
  <c r="E318"/>
  <c r="G318" s="1"/>
  <c r="H318" s="1"/>
  <c r="D317" s="1"/>
  <c r="F317" l="1"/>
  <c r="E57"/>
  <c r="G57" s="1"/>
  <c r="H57" s="1"/>
  <c r="D56" s="1"/>
  <c r="F56" l="1"/>
  <c r="E317"/>
  <c r="G317" s="1"/>
  <c r="H317" s="1"/>
  <c r="D316" s="1"/>
  <c r="F316" l="1"/>
  <c r="E56"/>
  <c r="G56" s="1"/>
  <c r="H56" s="1"/>
  <c r="D55" s="1"/>
  <c r="F55" l="1"/>
  <c r="E316"/>
  <c r="G316" s="1"/>
  <c r="H316" s="1"/>
  <c r="D315" s="1"/>
  <c r="F315" l="1"/>
  <c r="E55"/>
  <c r="G55" s="1"/>
  <c r="H55" s="1"/>
  <c r="D54" s="1"/>
  <c r="F54" l="1"/>
  <c r="E315"/>
  <c r="G315" s="1"/>
  <c r="H315" s="1"/>
  <c r="D314" s="1"/>
  <c r="F314" l="1"/>
  <c r="E54"/>
  <c r="G54" s="1"/>
  <c r="H54" s="1"/>
  <c r="D53" s="1"/>
  <c r="F53" l="1"/>
  <c r="E314"/>
  <c r="G314" s="1"/>
  <c r="H314" s="1"/>
  <c r="D313" s="1"/>
  <c r="F313" l="1"/>
  <c r="E53"/>
  <c r="G53" s="1"/>
  <c r="H53" s="1"/>
  <c r="D52" s="1"/>
  <c r="F52" l="1"/>
  <c r="E313"/>
  <c r="G313" s="1"/>
  <c r="H313" s="1"/>
  <c r="D312" s="1"/>
  <c r="F312" l="1"/>
  <c r="E52"/>
  <c r="G52" s="1"/>
  <c r="H52" s="1"/>
  <c r="D51" s="1"/>
  <c r="F51" l="1"/>
  <c r="E312"/>
  <c r="G312" s="1"/>
  <c r="H312" s="1"/>
  <c r="D311" s="1"/>
  <c r="F311" l="1"/>
  <c r="E51"/>
  <c r="G51" s="1"/>
  <c r="H51" s="1"/>
  <c r="D50" s="1"/>
  <c r="F50" l="1"/>
  <c r="E311"/>
  <c r="G311" s="1"/>
  <c r="H311" s="1"/>
  <c r="D310" s="1"/>
  <c r="F310" l="1"/>
  <c r="E50"/>
  <c r="G50" s="1"/>
  <c r="H50" s="1"/>
  <c r="D49" s="1"/>
  <c r="F49" l="1"/>
  <c r="E310"/>
  <c r="G310" s="1"/>
  <c r="H310" s="1"/>
  <c r="D309" s="1"/>
  <c r="F309" l="1"/>
  <c r="E49"/>
  <c r="G49" s="1"/>
  <c r="H49" s="1"/>
  <c r="D48" s="1"/>
  <c r="F48" l="1"/>
  <c r="E309"/>
  <c r="G309" s="1"/>
  <c r="H309" s="1"/>
  <c r="D308" s="1"/>
  <c r="F308" l="1"/>
  <c r="E48"/>
  <c r="G48" s="1"/>
  <c r="H48" s="1"/>
  <c r="D47" s="1"/>
  <c r="F47" l="1"/>
  <c r="E308"/>
  <c r="G308" s="1"/>
  <c r="H308" s="1"/>
  <c r="D307" s="1"/>
  <c r="F307" l="1"/>
  <c r="E47"/>
  <c r="G47" s="1"/>
  <c r="H47" s="1"/>
  <c r="D46" s="1"/>
  <c r="F46" l="1"/>
  <c r="E307"/>
  <c r="G307" s="1"/>
  <c r="H307" s="1"/>
  <c r="D306" s="1"/>
  <c r="F306" l="1"/>
  <c r="E46"/>
  <c r="G46" s="1"/>
  <c r="H46" s="1"/>
  <c r="D45" s="1"/>
  <c r="F45" l="1"/>
  <c r="E306"/>
  <c r="G306" s="1"/>
  <c r="H306" s="1"/>
  <c r="D305" s="1"/>
  <c r="F305" l="1"/>
  <c r="E45"/>
  <c r="G45" s="1"/>
  <c r="H45" s="1"/>
  <c r="D44" s="1"/>
  <c r="F44" l="1"/>
  <c r="E305"/>
  <c r="G305" s="1"/>
  <c r="H305" s="1"/>
  <c r="D304" s="1"/>
  <c r="F304" l="1"/>
  <c r="E44"/>
  <c r="G44" s="1"/>
  <c r="H44" s="1"/>
  <c r="D43" s="1"/>
  <c r="F43" l="1"/>
  <c r="E304"/>
  <c r="G304" s="1"/>
  <c r="H304" s="1"/>
  <c r="D303" s="1"/>
  <c r="F303" l="1"/>
  <c r="E43"/>
  <c r="G43" s="1"/>
  <c r="H43" s="1"/>
  <c r="D42" s="1"/>
  <c r="F42" l="1"/>
  <c r="E303"/>
  <c r="G303" s="1"/>
  <c r="H303" s="1"/>
  <c r="D302" s="1"/>
  <c r="F302" l="1"/>
  <c r="E42"/>
  <c r="G42" s="1"/>
  <c r="H42" s="1"/>
  <c r="D41" s="1"/>
  <c r="F41" l="1"/>
  <c r="E302"/>
  <c r="G302" s="1"/>
  <c r="H302" s="1"/>
  <c r="D301" s="1"/>
  <c r="F301" l="1"/>
  <c r="E41"/>
  <c r="G41" s="1"/>
  <c r="H41" s="1"/>
  <c r="D40" s="1"/>
  <c r="F40" l="1"/>
  <c r="E301"/>
  <c r="G301" s="1"/>
  <c r="H301" s="1"/>
  <c r="D300" s="1"/>
  <c r="F300" l="1"/>
  <c r="E40"/>
  <c r="G40" s="1"/>
  <c r="H40" s="1"/>
  <c r="D39" s="1"/>
  <c r="F39" l="1"/>
  <c r="E300"/>
  <c r="G300" s="1"/>
  <c r="H300" s="1"/>
  <c r="D299" s="1"/>
  <c r="F299" l="1"/>
  <c r="E39"/>
  <c r="G39" s="1"/>
  <c r="H39" s="1"/>
  <c r="D38" s="1"/>
  <c r="F38" l="1"/>
  <c r="E299"/>
  <c r="G299" s="1"/>
  <c r="H299" s="1"/>
  <c r="D298" s="1"/>
  <c r="F298" l="1"/>
  <c r="E38"/>
  <c r="G38" s="1"/>
  <c r="H38" s="1"/>
  <c r="D37" l="1"/>
  <c r="E298"/>
  <c r="G298" s="1"/>
  <c r="H298" s="1"/>
  <c r="D297" s="1"/>
  <c r="F297" l="1"/>
  <c r="F37"/>
  <c r="E297" l="1"/>
  <c r="G297" s="1"/>
  <c r="H297" s="1"/>
  <c r="D296" s="1"/>
  <c r="E37"/>
  <c r="G37" s="1"/>
  <c r="H37" s="1"/>
  <c r="D36" s="1"/>
  <c r="F36" l="1"/>
  <c r="F296"/>
  <c r="E36" l="1"/>
  <c r="G36" s="1"/>
  <c r="H36" s="1"/>
  <c r="D35" s="1"/>
  <c r="E296"/>
  <c r="G296" s="1"/>
  <c r="H296" s="1"/>
  <c r="D295" s="1"/>
  <c r="F295" l="1"/>
  <c r="F35"/>
  <c r="E35" l="1"/>
  <c r="G35" s="1"/>
  <c r="H35" s="1"/>
  <c r="D34" s="1"/>
  <c r="E295"/>
  <c r="G295" s="1"/>
  <c r="H295" s="1"/>
  <c r="D294" s="1"/>
  <c r="F294" l="1"/>
  <c r="F34"/>
  <c r="E294" l="1"/>
  <c r="G294" s="1"/>
  <c r="H294" s="1"/>
  <c r="D293" s="1"/>
  <c r="E34"/>
  <c r="G34" s="1"/>
  <c r="H34" s="1"/>
  <c r="D33" s="1"/>
  <c r="F33" l="1"/>
  <c r="F293"/>
  <c r="E293" l="1"/>
  <c r="G293" s="1"/>
  <c r="H293" s="1"/>
  <c r="D292" s="1"/>
  <c r="E33"/>
  <c r="G33" s="1"/>
  <c r="H33" s="1"/>
  <c r="D32" s="1"/>
  <c r="F32" l="1"/>
  <c r="F292"/>
  <c r="E32" l="1"/>
  <c r="G32" s="1"/>
  <c r="H32" s="1"/>
  <c r="D31" s="1"/>
  <c r="E292"/>
  <c r="G292" s="1"/>
  <c r="H292" s="1"/>
  <c r="D291" s="1"/>
  <c r="F291" l="1"/>
  <c r="F31"/>
  <c r="E31" l="1"/>
  <c r="G31" s="1"/>
  <c r="H31" s="1"/>
  <c r="D30" s="1"/>
  <c r="E291"/>
  <c r="G291" s="1"/>
  <c r="H291" s="1"/>
  <c r="D290" s="1"/>
  <c r="F290" l="1"/>
  <c r="F30"/>
  <c r="E290" l="1"/>
  <c r="G290" s="1"/>
  <c r="H290" s="1"/>
  <c r="D289" s="1"/>
  <c r="E30"/>
  <c r="G30" s="1"/>
  <c r="H30" s="1"/>
  <c r="D29" s="1"/>
  <c r="F29" l="1"/>
  <c r="F289"/>
  <c r="E29" l="1"/>
  <c r="G29" s="1"/>
  <c r="H29" s="1"/>
  <c r="D28" s="1"/>
  <c r="E289"/>
  <c r="G289" s="1"/>
  <c r="H289" s="1"/>
  <c r="D288" s="1"/>
  <c r="F288" l="1"/>
  <c r="F28"/>
  <c r="E28" l="1"/>
  <c r="G28" s="1"/>
  <c r="H28" s="1"/>
  <c r="D27" s="1"/>
  <c r="E288"/>
  <c r="G288" s="1"/>
  <c r="H288" s="1"/>
  <c r="D287" s="1"/>
  <c r="F287" l="1"/>
  <c r="F27"/>
  <c r="E27" l="1"/>
  <c r="G27" s="1"/>
  <c r="H27" s="1"/>
  <c r="D26" s="1"/>
  <c r="E287"/>
  <c r="G287" s="1"/>
  <c r="H287" s="1"/>
  <c r="D286" s="1"/>
  <c r="F286" l="1"/>
  <c r="F26"/>
  <c r="E286" l="1"/>
  <c r="G286" s="1"/>
  <c r="H286" s="1"/>
  <c r="D285" s="1"/>
  <c r="E26"/>
  <c r="G26" s="1"/>
  <c r="H26" s="1"/>
  <c r="D25" s="1"/>
  <c r="F25" l="1"/>
  <c r="F285"/>
  <c r="E25" l="1"/>
  <c r="G25" s="1"/>
  <c r="H25" s="1"/>
  <c r="D24" s="1"/>
  <c r="E285"/>
  <c r="G285" s="1"/>
  <c r="H285" s="1"/>
  <c r="D284" s="1"/>
  <c r="F284" l="1"/>
  <c r="F24"/>
  <c r="E284" l="1"/>
  <c r="G284" s="1"/>
  <c r="H284" s="1"/>
  <c r="D283" s="1"/>
  <c r="E24"/>
  <c r="G24" s="1"/>
  <c r="H24" s="1"/>
  <c r="D23" s="1"/>
  <c r="F23" l="1"/>
  <c r="F283"/>
  <c r="E23" l="1"/>
  <c r="G23" s="1"/>
  <c r="H23" s="1"/>
  <c r="D22" s="1"/>
  <c r="E283"/>
  <c r="G283" s="1"/>
  <c r="H283" s="1"/>
  <c r="D282" s="1"/>
  <c r="F282" l="1"/>
  <c r="F22"/>
  <c r="E22" l="1"/>
  <c r="G22" s="1"/>
  <c r="H22" s="1"/>
  <c r="E282"/>
  <c r="G282" s="1"/>
  <c r="H282" s="1"/>
  <c r="D281" s="1"/>
  <c r="F281" l="1"/>
  <c r="D21"/>
  <c r="F21" l="1"/>
  <c r="E281"/>
  <c r="G281" s="1"/>
  <c r="H281" s="1"/>
  <c r="D280" s="1"/>
  <c r="F280" l="1"/>
  <c r="E21"/>
  <c r="G21" s="1"/>
  <c r="H21" s="1"/>
  <c r="D20" s="1"/>
  <c r="F20" l="1"/>
  <c r="E280"/>
  <c r="G280" s="1"/>
  <c r="H280" s="1"/>
  <c r="D279" s="1"/>
  <c r="F279" l="1"/>
  <c r="E20"/>
  <c r="G20" s="1"/>
  <c r="H20" s="1"/>
  <c r="D19" s="1"/>
  <c r="F19" l="1"/>
  <c r="E279"/>
  <c r="G279" s="1"/>
  <c r="H279" s="1"/>
  <c r="D278" s="1"/>
  <c r="F278" l="1"/>
  <c r="E19"/>
  <c r="G19" s="1"/>
  <c r="H19" s="1"/>
  <c r="D18" s="1"/>
  <c r="F18" l="1"/>
  <c r="E278"/>
  <c r="G278" s="1"/>
  <c r="H278" s="1"/>
  <c r="D277" s="1"/>
  <c r="F277" l="1"/>
  <c r="E18"/>
  <c r="G18" s="1"/>
  <c r="H18" s="1"/>
  <c r="D17" s="1"/>
  <c r="F17" l="1"/>
  <c r="E277"/>
  <c r="G277" s="1"/>
  <c r="H277" s="1"/>
  <c r="D276" s="1"/>
  <c r="F276" l="1"/>
  <c r="E17"/>
  <c r="G17" s="1"/>
  <c r="H17" s="1"/>
  <c r="D16" s="1"/>
  <c r="F16" l="1"/>
  <c r="E276"/>
  <c r="G276" s="1"/>
  <c r="H276" s="1"/>
  <c r="D275" s="1"/>
  <c r="F275" l="1"/>
  <c r="E16"/>
  <c r="G16" s="1"/>
  <c r="H16" s="1"/>
  <c r="D15" s="1"/>
  <c r="F15" l="1"/>
  <c r="E275"/>
  <c r="G275" s="1"/>
  <c r="H275" s="1"/>
  <c r="D274" s="1"/>
  <c r="F274" l="1"/>
  <c r="E15"/>
  <c r="G15" s="1"/>
  <c r="H15" s="1"/>
  <c r="D14" s="1"/>
  <c r="F14" l="1"/>
  <c r="E274"/>
  <c r="G274" s="1"/>
  <c r="H274" s="1"/>
  <c r="D273" s="1"/>
  <c r="F273" l="1"/>
  <c r="E14"/>
  <c r="G14" s="1"/>
  <c r="H14" s="1"/>
  <c r="D13" l="1"/>
  <c r="E273"/>
  <c r="G273" s="1"/>
  <c r="H273" s="1"/>
  <c r="D272" s="1"/>
  <c r="F272" l="1"/>
  <c r="F13"/>
  <c r="E272" l="1"/>
  <c r="G272" s="1"/>
  <c r="H272" s="1"/>
  <c r="D271" s="1"/>
  <c r="E13"/>
  <c r="G13" s="1"/>
  <c r="H13" s="1"/>
  <c r="D12" l="1"/>
  <c r="F271"/>
  <c r="E271" l="1"/>
  <c r="G271" s="1"/>
  <c r="H271" s="1"/>
  <c r="D270" s="1"/>
  <c r="F12"/>
  <c r="F270" l="1"/>
  <c r="E12"/>
  <c r="G12" s="1"/>
  <c r="H12" s="1"/>
  <c r="D11" s="1"/>
  <c r="F11" l="1"/>
  <c r="E270"/>
  <c r="G270" s="1"/>
  <c r="H270" s="1"/>
  <c r="D269" s="1"/>
  <c r="F269" s="1"/>
  <c r="E269" l="1"/>
  <c r="G269" s="1"/>
  <c r="H269" s="1"/>
  <c r="E11"/>
  <c r="G11" s="1"/>
  <c r="H11" s="1"/>
  <c r="D10" s="1"/>
  <c r="F10" l="1"/>
  <c r="E10" l="1"/>
  <c r="G10" s="1"/>
  <c r="H10" s="1"/>
  <c r="D9" l="1"/>
  <c r="F9" l="1"/>
  <c r="E9" l="1"/>
  <c r="G9" s="1"/>
  <c r="H9" s="1"/>
  <c r="D8" s="1"/>
  <c r="F8" s="1"/>
  <c r="E8" l="1"/>
  <c r="G8" s="1"/>
  <c r="H8" s="1"/>
  <c r="Q3" i="1" s="1"/>
</calcChain>
</file>

<file path=xl/sharedStrings.xml><?xml version="1.0" encoding="utf-8"?>
<sst xmlns="http://schemas.openxmlformats.org/spreadsheetml/2006/main" count="1739" uniqueCount="322">
  <si>
    <t>Stoaty Marmot</t>
  </si>
  <si>
    <t>Fractional Year / Total Miles Prediction</t>
  </si>
  <si>
    <t>Corrected</t>
  </si>
  <si>
    <t>Solar Loading</t>
  </si>
  <si>
    <t>Calendar Plus</t>
  </si>
  <si>
    <t>Predicted</t>
  </si>
  <si>
    <t>Remaining</t>
  </si>
  <si>
    <t>Full Charge</t>
  </si>
  <si>
    <t>80% Charge</t>
  </si>
  <si>
    <t>Calendar Loss</t>
  </si>
  <si>
    <t>Cycling Loss</t>
  </si>
  <si>
    <t>Loss</t>
  </si>
  <si>
    <t>Total Loss</t>
  </si>
  <si>
    <t>% Capacity</t>
  </si>
  <si>
    <t>Gids</t>
  </si>
  <si>
    <t>% Gids</t>
  </si>
  <si>
    <t>City</t>
  </si>
  <si>
    <t>Van Nuys, CA</t>
  </si>
  <si>
    <t>Battery Age (years)</t>
  </si>
  <si>
    <t>Miles/kwh</t>
  </si>
  <si>
    <t>Years in Service</t>
  </si>
  <si>
    <t>Prediction Tab Aging Factor</t>
  </si>
  <si>
    <t>Days/week in Sun</t>
  </si>
  <si>
    <t>Note: fractional years will be less</t>
  </si>
  <si>
    <t>Actual Loss</t>
  </si>
  <si>
    <t>Prediction Tab Solar Loading</t>
  </si>
  <si>
    <t>Total Mileage</t>
  </si>
  <si>
    <t>Accurate due to seasonal effects</t>
  </si>
  <si>
    <t>Manufacture Date</t>
  </si>
  <si>
    <t>on aging factors</t>
  </si>
  <si>
    <t>Actual Minus</t>
  </si>
  <si>
    <t>Fractional Year</t>
  </si>
  <si>
    <t>Date of Delivery</t>
  </si>
  <si>
    <t>End of Life</t>
  </si>
  <si>
    <t>Service Years</t>
  </si>
  <si>
    <t>Miles at</t>
  </si>
  <si>
    <t>Qualify for</t>
  </si>
  <si>
    <t>Actual Percent</t>
  </si>
  <si>
    <t>Corrected Cycling Loss</t>
  </si>
  <si>
    <t>Solar Loading Loss</t>
  </si>
  <si>
    <t>Date of Reading</t>
  </si>
  <si>
    <t>End of Life Percent</t>
  </si>
  <si>
    <t>Years</t>
  </si>
  <si>
    <t>Warranty?</t>
  </si>
  <si>
    <t>of Predicted</t>
  </si>
  <si>
    <t>Relative Loss</t>
  </si>
  <si>
    <t>Absolute Loss</t>
  </si>
  <si>
    <t>Annual Mileage</t>
  </si>
  <si>
    <t>Actual Capacity (AH)</t>
  </si>
  <si>
    <t>Capacity When New</t>
  </si>
  <si>
    <t>Actual</t>
  </si>
  <si>
    <t>Actual – Predicted</t>
  </si>
  <si>
    <t>Capacity</t>
  </si>
  <si>
    <t>Yearly Prediction</t>
  </si>
  <si>
    <t>Percent</t>
  </si>
  <si>
    <t>Year to Year</t>
  </si>
  <si>
    <t>Year</t>
  </si>
  <si>
    <t>Increment Loss</t>
  </si>
  <si>
    <t>End of Life 70%</t>
  </si>
  <si>
    <t>Date of</t>
  </si>
  <si>
    <t>Days/week</t>
  </si>
  <si>
    <t>Battery Age</t>
  </si>
  <si>
    <t>Years in</t>
  </si>
  <si>
    <t>Minus Corrected</t>
  </si>
  <si>
    <t>Correction</t>
  </si>
  <si>
    <t>Actual Loss % of</t>
  </si>
  <si>
    <t>Row Number</t>
  </si>
  <si>
    <t>Owner</t>
  </si>
  <si>
    <t>Delivery Date</t>
  </si>
  <si>
    <t>AH</t>
  </si>
  <si>
    <t>Reading</t>
  </si>
  <si>
    <t>in Sun</t>
  </si>
  <si>
    <t>Service</t>
  </si>
  <si>
    <t>Aging Factor</t>
  </si>
  <si>
    <t>Factor</t>
  </si>
  <si>
    <t>Predicted Loss</t>
  </si>
  <si>
    <t>Minus Predicted</t>
  </si>
  <si>
    <t>Difference</t>
  </si>
  <si>
    <t>Corrected Loss</t>
  </si>
  <si>
    <t>Comments</t>
  </si>
  <si>
    <t>Weatherman</t>
  </si>
  <si>
    <t>Fort Lauderdale, FL</t>
  </si>
  <si>
    <t>TomT</t>
  </si>
  <si>
    <t>Drees</t>
  </si>
  <si>
    <t>San Diego, CA</t>
  </si>
  <si>
    <t>DaveinOlyWA</t>
  </si>
  <si>
    <t>Olympia, WA</t>
  </si>
  <si>
    <t>jhm614</t>
  </si>
  <si>
    <t>Dallas, TX</t>
  </si>
  <si>
    <t>Vegastar</t>
  </si>
  <si>
    <t>Lisbon, Portugal</t>
  </si>
  <si>
    <t>UkrainianKozak</t>
  </si>
  <si>
    <t>Seattle, WA</t>
  </si>
  <si>
    <t>rickbecker</t>
  </si>
  <si>
    <t>FairwoodRed</t>
  </si>
  <si>
    <t>Stoaty</t>
  </si>
  <si>
    <t>ColumbianRiverGorge</t>
  </si>
  <si>
    <t>Pittsburgh, PA</t>
  </si>
  <si>
    <t>91040</t>
  </si>
  <si>
    <t>JeremyW</t>
  </si>
  <si>
    <t>madbrain</t>
  </si>
  <si>
    <t>San Jose, CA</t>
  </si>
  <si>
    <t>garygTx</t>
  </si>
  <si>
    <t>Armand</t>
  </si>
  <si>
    <t>San Francisco, CA</t>
  </si>
  <si>
    <t>TickTock</t>
  </si>
  <si>
    <t>Phoenix, AZ</t>
  </si>
  <si>
    <t>KJD</t>
  </si>
  <si>
    <t>Salt Lake City, UT</t>
  </si>
  <si>
    <t>uwskier20</t>
  </si>
  <si>
    <t>ttweed</t>
  </si>
  <si>
    <t>Devin</t>
  </si>
  <si>
    <t>vrwl</t>
  </si>
  <si>
    <t>Mean</t>
  </si>
  <si>
    <t>Standard Dev</t>
  </si>
  <si>
    <t>No P3227 update</t>
  </si>
  <si>
    <t>Median</t>
  </si>
  <si>
    <t>mwalsh</t>
  </si>
  <si>
    <t>kolmstead</t>
  </si>
  <si>
    <t>Ridgecrest, CA</t>
  </si>
  <si>
    <t>SJFlyer</t>
  </si>
  <si>
    <t>ecoobsessive</t>
  </si>
  <si>
    <t>San Antonio, TX</t>
  </si>
  <si>
    <t>palmermd</t>
  </si>
  <si>
    <t>Sacramento, CA</t>
  </si>
  <si>
    <t>WetEV</t>
  </si>
  <si>
    <t>tivollix</t>
  </si>
  <si>
    <t>Montreal, Canada</t>
  </si>
  <si>
    <t>Spent 14 months in California</t>
  </si>
  <si>
    <t>2013 Model</t>
  </si>
  <si>
    <t>dm33</t>
  </si>
  <si>
    <t>Raleigh, NC</t>
  </si>
  <si>
    <t>2013 model</t>
  </si>
  <si>
    <t>bradbissel</t>
  </si>
  <si>
    <t>Boston, MA</t>
  </si>
  <si>
    <t>P3227 Max</t>
  </si>
  <si>
    <t>P3227 Min</t>
  </si>
  <si>
    <t>Calendar Loss %</t>
  </si>
  <si>
    <t>Cycling Loss %</t>
  </si>
  <si>
    <t>Range</t>
  </si>
  <si>
    <t>Row Number to Calc</t>
  </si>
  <si>
    <t>Calibration Tab Aging Factor</t>
  </si>
  <si>
    <t>Calibration Tab Solar Loading</t>
  </si>
  <si>
    <t>UkranianKozak</t>
  </si>
  <si>
    <t>ColumbiaRiverGorge</t>
  </si>
  <si>
    <t>Values from TickTock's graph</t>
  </si>
  <si>
    <t>Empirically</t>
  </si>
  <si>
    <t>Derived</t>
  </si>
  <si>
    <t>Relative</t>
  </si>
  <si>
    <t>Calculated</t>
  </si>
  <si>
    <t>6 months</t>
  </si>
  <si>
    <t>1 year</t>
  </si>
  <si>
    <t>2 years</t>
  </si>
  <si>
    <t>5 years</t>
  </si>
  <si>
    <t>10 years</t>
  </si>
  <si>
    <t>Miles</t>
  </si>
  <si>
    <t>to Normal</t>
  </si>
  <si>
    <t>Boston</t>
  </si>
  <si>
    <t>Normal</t>
  </si>
  <si>
    <t>Phoenix</t>
  </si>
  <si>
    <t>Calendar</t>
  </si>
  <si>
    <t>Cycling</t>
  </si>
  <si>
    <t>Total</t>
  </si>
  <si>
    <t>Boston Errors</t>
  </si>
  <si>
    <t>Normal Errors</t>
  </si>
  <si>
    <t>Phoenix Errors</t>
  </si>
  <si>
    <t>Average Absolute Error</t>
  </si>
  <si>
    <t>LA4 Driving Cycle M/Kwh</t>
  </si>
  <si>
    <t>Calendar Correction Factor</t>
  </si>
  <si>
    <t>(see linear regression below)</t>
  </si>
  <si>
    <t>Additional</t>
  </si>
  <si>
    <t>SQRT(years)</t>
  </si>
  <si>
    <t>Loss (Total)</t>
  </si>
  <si>
    <t>Loss (/year)</t>
  </si>
  <si>
    <t>Solar loading</t>
  </si>
  <si>
    <t>Degrees C.</t>
  </si>
  <si>
    <t>Degrees F.</t>
  </si>
  <si>
    <t>% Increase</t>
  </si>
  <si>
    <t>Model Prediction (Validation)</t>
  </si>
  <si>
    <t>TickTock's Leaf</t>
  </si>
  <si>
    <t>Santa Monica, CA</t>
  </si>
  <si>
    <t>Portland, OR</t>
  </si>
  <si>
    <t>Palm Springs, CA</t>
  </si>
  <si>
    <t>Nashville, TN</t>
  </si>
  <si>
    <t>Ota, Japan</t>
  </si>
  <si>
    <t>Dubai, UAE</t>
  </si>
  <si>
    <t>Omaha, Nebraska</t>
  </si>
  <si>
    <t>Rygge, Norway</t>
  </si>
  <si>
    <t>Denver, CO</t>
  </si>
  <si>
    <t>Chicago, IL</t>
  </si>
  <si>
    <t>Memphis, TN</t>
  </si>
  <si>
    <t>Honolulu, HI</t>
  </si>
  <si>
    <t>Los Angeles Civic Center</t>
  </si>
  <si>
    <t>Bakersfield, CA</t>
  </si>
  <si>
    <t>Anaheim, CA</t>
  </si>
  <si>
    <t>Modesto, CA</t>
  </si>
  <si>
    <t>Santa Clara, CA</t>
  </si>
  <si>
    <t>Montclair, NJ</t>
  </si>
  <si>
    <t>Minneapolis, MN</t>
  </si>
  <si>
    <t>Houston, TX</t>
  </si>
  <si>
    <t>Winchester, VA</t>
  </si>
  <si>
    <t>Washington DC</t>
  </si>
  <si>
    <t>Vancouver, BC</t>
  </si>
  <si>
    <t>Bellingham, WA</t>
  </si>
  <si>
    <t>Kansas City, MO</t>
  </si>
  <si>
    <t>Sydney, Australia</t>
  </si>
  <si>
    <t>Paris, France</t>
  </si>
  <si>
    <t>Hong Kong Intl Airport</t>
  </si>
  <si>
    <t>Melbourne, Australia</t>
  </si>
  <si>
    <t>London, England</t>
  </si>
  <si>
    <t>Madrid, Spain</t>
  </si>
  <si>
    <t>Charlotte, NC</t>
  </si>
  <si>
    <t>Atlanta, Georgia</t>
  </si>
  <si>
    <t>Juneau, Alaska</t>
  </si>
  <si>
    <t>LAX</t>
  </si>
  <si>
    <t>Oklahoma City, OK</t>
  </si>
  <si>
    <t>Las Vegas, NV</t>
  </si>
  <si>
    <t>Albuquerque, NM</t>
  </si>
  <si>
    <t>New Orleans, LA</t>
  </si>
  <si>
    <t>Indianapolis, IN</t>
  </si>
  <si>
    <t>Columbus, OH</t>
  </si>
  <si>
    <t>Palmdale, CA</t>
  </si>
  <si>
    <t>Orlando, FL</t>
  </si>
  <si>
    <t>Toronto, Canada</t>
  </si>
  <si>
    <t>Riverside, CA</t>
  </si>
  <si>
    <t>Ontario Intl Airport</t>
  </si>
  <si>
    <t>Detroit, MI</t>
  </si>
  <si>
    <t>Tucson, AZ</t>
  </si>
  <si>
    <t>Knoxville, TN</t>
  </si>
  <si>
    <t>Austin, TX</t>
  </si>
  <si>
    <t>Flagstaff, AZ</t>
  </si>
  <si>
    <t>Reno, NV</t>
  </si>
  <si>
    <t>Little Rock, Arkansas</t>
  </si>
  <si>
    <t>San Juan, Puerto Rico</t>
  </si>
  <si>
    <t>Vienna, Austria</t>
  </si>
  <si>
    <t>Jackson, Mississippi</t>
  </si>
  <si>
    <t>Madison, WI</t>
  </si>
  <si>
    <t>Philadelphia, PA</t>
  </si>
  <si>
    <t>Jacksonville, FL</t>
  </si>
  <si>
    <t>Hilo, HI</t>
  </si>
  <si>
    <t>Syracuse, NY</t>
  </si>
  <si>
    <t>Big Bear City, CA</t>
  </si>
  <si>
    <t>Porto, Portugal</t>
  </si>
  <si>
    <t>Norfolk, VA</t>
  </si>
  <si>
    <t>Shannon, Ireland</t>
  </si>
  <si>
    <t>Dublin, Ireland</t>
  </si>
  <si>
    <t>Tulsa, OK</t>
  </si>
  <si>
    <t>Mesa, AZ</t>
  </si>
  <si>
    <t>Waxahachie, TX</t>
  </si>
  <si>
    <t>Visalia, CA</t>
  </si>
  <si>
    <t>Burbank, CA</t>
  </si>
  <si>
    <t>Santa Ana, CA</t>
  </si>
  <si>
    <t>Sevilla, Spain</t>
  </si>
  <si>
    <t>Oceanside, CA</t>
  </si>
  <si>
    <t>Tyler, TX</t>
  </si>
  <si>
    <t>Witchita Falls, TX</t>
  </si>
  <si>
    <t>Prescott, AZ</t>
  </si>
  <si>
    <t>Fresno, CA</t>
  </si>
  <si>
    <t>Warsaw, Poland</t>
  </si>
  <si>
    <t>El Paso, TX</t>
  </si>
  <si>
    <t>Temp Band (Median)</t>
  </si>
  <si>
    <t>Pixels</t>
  </si>
  <si>
    <t>Sweltering (105 degrees)</t>
  </si>
  <si>
    <t>Very Hot (92.5 degrees)</t>
  </si>
  <si>
    <t>Hot (80 degrees)</t>
  </si>
  <si>
    <t>Comfortable (70 degrees)</t>
  </si>
  <si>
    <t>Cool (57.5 degrees)</t>
  </si>
  <si>
    <t>Cold (41 degrees)</t>
  </si>
  <si>
    <t>Freezing (23.5 degrees)</t>
  </si>
  <si>
    <t>Frigid (10 degrees)</t>
  </si>
  <si>
    <t>Actual pixels</t>
  </si>
  <si>
    <t>Percent error total pixels</t>
  </si>
  <si>
    <t>Temperature Diff Deg C.</t>
  </si>
  <si>
    <t>Arrhenius Factors</t>
  </si>
  <si>
    <t>Temp Band</t>
  </si>
  <si>
    <t>Solar Loading Phoenix deg C</t>
  </si>
  <si>
    <t>Solar Loading Boston deg C</t>
  </si>
  <si>
    <t>Scaling Factor</t>
  </si>
  <si>
    <t>Maximum Loading</t>
  </si>
  <si>
    <t>Phoenix/Seattle Factor Ratio</t>
  </si>
  <si>
    <t>Phoenix/Boston Factor Ratio</t>
  </si>
  <si>
    <t>Phoenix/Los Angeles Ratio</t>
  </si>
  <si>
    <t>LA Civic Center Aging Factor</t>
  </si>
  <si>
    <t>Aging Factor Rel</t>
  </si>
  <si>
    <t>Aging Factor Adjusted</t>
  </si>
  <si>
    <t>Aging Factor Unscaled</t>
  </si>
  <si>
    <t>LA Civic Center</t>
  </si>
  <si>
    <t>to Fit Model</t>
  </si>
  <si>
    <t>For Temp &gt; LA Civic Ctr</t>
  </si>
  <si>
    <t>kwh/sq meter</t>
  </si>
  <si>
    <t>End of Life Calculation Table for Prediction Tab</t>
  </si>
  <si>
    <t>End of Life Calculation Table for Calibration Tab</t>
  </si>
  <si>
    <t>Hours/Day</t>
  </si>
  <si>
    <t>Years Owned</t>
  </si>
  <si>
    <t>At 100%</t>
  </si>
  <si>
    <t>Method</t>
  </si>
  <si>
    <t>TickTock (White626)</t>
  </si>
  <si>
    <t>Nissan Test</t>
  </si>
  <si>
    <t>Arizona Range Test was 87.5%</t>
  </si>
  <si>
    <t>Azdre/Opossum (Red500)</t>
  </si>
  <si>
    <t>Arizona Range Test was 82.5%</t>
  </si>
  <si>
    <t>Leafkabob (White530)</t>
  </si>
  <si>
    <t>Arizona Range Test</t>
  </si>
  <si>
    <t>GerryAZ (Silver679)</t>
  </si>
  <si>
    <t>White272</t>
  </si>
  <si>
    <t>Blue744 (WiltingLeaf)</t>
  </si>
  <si>
    <t>Red429</t>
  </si>
  <si>
    <t>Blue917</t>
  </si>
  <si>
    <t>Blue534</t>
  </si>
  <si>
    <t>Blue842</t>
  </si>
  <si>
    <t>RedXXX</t>
  </si>
  <si>
    <t>Blue494</t>
  </si>
  <si>
    <t>Parked in sun with west facing door charging</t>
  </si>
  <si>
    <t>Tony Williams (Black782)</t>
  </si>
  <si>
    <t>Multiple QC?</t>
  </si>
  <si>
    <t>Range test to LBW</t>
  </si>
  <si>
    <t>Extrapolated to 106 miles out of 119.7</t>
  </si>
  <si>
    <t>TaylorSFGuy</t>
  </si>
  <si>
    <t>Gid Meter/Estimate</t>
  </si>
  <si>
    <t>Standard Deviation</t>
  </si>
  <si>
    <t>Absolute value of Diff</t>
  </si>
  <si>
    <t>Version 1.00</t>
  </si>
</sst>
</file>

<file path=xl/styles.xml><?xml version="1.0" encoding="utf-8"?>
<styleSheet xmlns="http://schemas.openxmlformats.org/spreadsheetml/2006/main">
  <numFmts count="4">
    <numFmt numFmtId="164" formatCode="mm/dd/yy"/>
    <numFmt numFmtId="165" formatCode="0.0"/>
    <numFmt numFmtId="166" formatCode="0.0%"/>
    <numFmt numFmtId="167" formatCode="[$$-409]#,##0.00;[Red]&quot;-&quot;[$$-409]#,##0.00"/>
  </numFmts>
  <fonts count="7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FFFFFF"/>
      <name val="Arial"/>
      <family val="2"/>
    </font>
    <font>
      <sz val="11"/>
      <color rgb="FF8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2300"/>
        <bgColor rgb="FFDC230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FF00FF"/>
        <bgColor rgb="FFFF00FF"/>
      </patternFill>
    </fill>
    <fill>
      <patternFill patternType="solid">
        <fgColor rgb="FF94BD5E"/>
        <bgColor rgb="FF94BD5E"/>
      </patternFill>
    </fill>
    <fill>
      <patternFill patternType="solid">
        <fgColor rgb="FFFF9966"/>
        <bgColor rgb="FFFF9966"/>
      </patternFill>
    </fill>
    <fill>
      <patternFill patternType="solid">
        <fgColor rgb="FFFFFF66"/>
        <bgColor rgb="FFFFFF66"/>
      </patternFill>
    </fill>
    <fill>
      <patternFill patternType="solid">
        <fgColor rgb="FFCFE7F5"/>
        <bgColor rgb="FFCFE7F5"/>
      </patternFill>
    </fill>
    <fill>
      <patternFill patternType="solid">
        <fgColor rgb="FFFF3333"/>
        <bgColor rgb="FFFF3333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0" fontId="1" fillId="2" borderId="0"/>
    <xf numFmtId="0" fontId="2" fillId="2" borderId="0"/>
    <xf numFmtId="0" fontId="1" fillId="2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7" fontId="4" fillId="0" borderId="0"/>
    <xf numFmtId="0" fontId="1" fillId="2" borderId="0"/>
    <xf numFmtId="0" fontId="1" fillId="2" borderId="0"/>
    <xf numFmtId="0" fontId="1" fillId="2" borderId="0"/>
    <xf numFmtId="2" fontId="5" fillId="3" borderId="0"/>
    <xf numFmtId="10" fontId="5" fillId="4" borderId="0"/>
    <xf numFmtId="0" fontId="5" fillId="2" borderId="0"/>
  </cellStyleXfs>
  <cellXfs count="52">
    <xf numFmtId="0" fontId="0" fillId="0" borderId="0" xfId="0"/>
    <xf numFmtId="0" fontId="0" fillId="5" borderId="0" xfId="0" applyFill="1"/>
    <xf numFmtId="0" fontId="0" fillId="6" borderId="0" xfId="0" applyFill="1"/>
    <xf numFmtId="0" fontId="2" fillId="7" borderId="0" xfId="0" applyFont="1" applyFill="1"/>
    <xf numFmtId="0" fontId="0" fillId="7" borderId="0" xfId="0" applyFill="1"/>
    <xf numFmtId="0" fontId="5" fillId="0" borderId="0" xfId="0" applyFont="1"/>
    <xf numFmtId="0" fontId="0" fillId="5" borderId="0" xfId="0" applyFill="1" applyAlignment="1">
      <alignment horizontal="right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9" borderId="0" xfId="0" applyFill="1"/>
    <xf numFmtId="0" fontId="0" fillId="10" borderId="0" xfId="0" applyFill="1" applyProtection="1">
      <protection locked="0"/>
    </xf>
    <xf numFmtId="2" fontId="0" fillId="11" borderId="0" xfId="0" applyNumberFormat="1" applyFill="1" applyProtection="1">
      <protection locked="0"/>
    </xf>
    <xf numFmtId="2" fontId="0" fillId="11" borderId="0" xfId="0" applyNumberFormat="1" applyFill="1"/>
    <xf numFmtId="1" fontId="0" fillId="11" borderId="0" xfId="0" applyNumberFormat="1" applyFill="1"/>
    <xf numFmtId="165" fontId="0" fillId="11" borderId="0" xfId="0" applyNumberFormat="1" applyFill="1"/>
    <xf numFmtId="1" fontId="0" fillId="5" borderId="0" xfId="0" applyNumberFormat="1" applyFill="1"/>
    <xf numFmtId="165" fontId="0" fillId="10" borderId="0" xfId="0" applyNumberFormat="1" applyFill="1" applyProtection="1">
      <protection locked="0"/>
    </xf>
    <xf numFmtId="0" fontId="5" fillId="12" borderId="0" xfId="0" applyFont="1" applyFill="1"/>
    <xf numFmtId="0" fontId="0" fillId="12" borderId="0" xfId="0" applyFill="1"/>
    <xf numFmtId="2" fontId="0" fillId="13" borderId="0" xfId="0" applyNumberFormat="1" applyFill="1"/>
    <xf numFmtId="1" fontId="0" fillId="10" borderId="0" xfId="0" applyNumberFormat="1" applyFill="1" applyProtection="1">
      <protection locked="0"/>
    </xf>
    <xf numFmtId="164" fontId="0" fillId="10" borderId="0" xfId="0" applyNumberFormat="1" applyFill="1"/>
    <xf numFmtId="10" fontId="0" fillId="11" borderId="0" xfId="0" applyNumberFormat="1" applyFill="1"/>
    <xf numFmtId="1" fontId="0" fillId="11" borderId="0" xfId="0" applyNumberFormat="1" applyFill="1" applyProtection="1">
      <protection locked="0"/>
    </xf>
    <xf numFmtId="2" fontId="0" fillId="10" borderId="0" xfId="0" applyNumberFormat="1" applyFill="1" applyProtection="1">
      <protection locked="0"/>
    </xf>
    <xf numFmtId="3" fontId="0" fillId="11" borderId="0" xfId="0" applyNumberFormat="1" applyFill="1"/>
    <xf numFmtId="0" fontId="0" fillId="10" borderId="0" xfId="0" applyFill="1"/>
    <xf numFmtId="0" fontId="0" fillId="11" borderId="0" xfId="0" applyFill="1"/>
    <xf numFmtId="0" fontId="0" fillId="11" borderId="0" xfId="0" applyFill="1" applyAlignment="1">
      <alignment horizontal="center"/>
    </xf>
    <xf numFmtId="165" fontId="0" fillId="10" borderId="0" xfId="0" applyNumberFormat="1" applyFill="1"/>
    <xf numFmtId="165" fontId="0" fillId="8" borderId="0" xfId="0" applyNumberFormat="1" applyFill="1"/>
    <xf numFmtId="0" fontId="0" fillId="14" borderId="0" xfId="0" applyFill="1"/>
    <xf numFmtId="1" fontId="0" fillId="14" borderId="0" xfId="0" applyNumberFormat="1" applyFill="1"/>
    <xf numFmtId="0" fontId="0" fillId="13" borderId="0" xfId="0" applyFill="1" applyAlignment="1">
      <alignment horizontal="center"/>
    </xf>
    <xf numFmtId="0" fontId="0" fillId="13" borderId="0" xfId="0" applyFill="1"/>
    <xf numFmtId="2" fontId="0" fillId="10" borderId="0" xfId="0" applyNumberFormat="1" applyFill="1"/>
    <xf numFmtId="10" fontId="0" fillId="13" borderId="0" xfId="0" applyNumberFormat="1" applyFill="1"/>
    <xf numFmtId="9" fontId="0" fillId="13" borderId="0" xfId="0" applyNumberFormat="1" applyFill="1"/>
    <xf numFmtId="164" fontId="0" fillId="0" borderId="0" xfId="0" applyNumberFormat="1"/>
    <xf numFmtId="0" fontId="0" fillId="10" borderId="0" xfId="0" applyFill="1" applyAlignment="1">
      <alignment horizontal="center"/>
    </xf>
    <xf numFmtId="0" fontId="0" fillId="11" borderId="0" xfId="0" applyFill="1" applyProtection="1">
      <protection locked="0"/>
    </xf>
    <xf numFmtId="165" fontId="0" fillId="11" borderId="0" xfId="0" applyNumberFormat="1" applyFill="1" applyProtection="1">
      <protection locked="0"/>
    </xf>
    <xf numFmtId="164" fontId="0" fillId="11" borderId="0" xfId="0" applyNumberFormat="1" applyFill="1"/>
    <xf numFmtId="2" fontId="0" fillId="0" borderId="0" xfId="0" applyNumberFormat="1"/>
    <xf numFmtId="2" fontId="6" fillId="11" borderId="0" xfId="0" applyNumberFormat="1" applyFont="1" applyFill="1"/>
    <xf numFmtId="166" fontId="0" fillId="11" borderId="0" xfId="0" applyNumberFormat="1" applyFill="1"/>
    <xf numFmtId="0" fontId="0" fillId="8" borderId="0" xfId="0" applyFill="1" applyAlignment="1">
      <alignment horizontal="right"/>
    </xf>
    <xf numFmtId="0" fontId="0" fillId="11" borderId="0" xfId="0" applyFill="1" applyAlignment="1">
      <alignment horizontal="right"/>
    </xf>
    <xf numFmtId="10" fontId="0" fillId="0" borderId="0" xfId="0" applyNumberFormat="1"/>
    <xf numFmtId="166" fontId="0" fillId="0" borderId="0" xfId="0" applyNumberFormat="1"/>
    <xf numFmtId="2" fontId="0" fillId="8" borderId="0" xfId="0" applyNumberFormat="1" applyFill="1"/>
  </cellXfs>
  <cellStyles count="14">
    <cellStyle name="Black on Black 2" xfId="1"/>
    <cellStyle name="Black on Black 3" xfId="2"/>
    <cellStyle name="Black Text on Black" xfId="3"/>
    <cellStyle name="Heading" xfId="4"/>
    <cellStyle name="Heading1" xfId="5"/>
    <cellStyle name="Normal" xfId="0" builtinId="0" customBuiltin="1"/>
    <cellStyle name="Result" xfId="6"/>
    <cellStyle name="Result2" xfId="7"/>
    <cellStyle name="Untitled1" xfId="8"/>
    <cellStyle name="Untitled2" xfId="9"/>
    <cellStyle name="White on Black" xfId="10"/>
    <cellStyle name="White on Red" xfId="11"/>
    <cellStyle name="White on Red Percent" xfId="12"/>
    <cellStyle name="White Text on Black" xfId="13"/>
  </cellStyles>
  <dxfs count="13"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ont>
        <color rgb="FFFFFFFF"/>
      </font>
      <numFmt numFmtId="2" formatCode="0.00"/>
      <fill>
        <patternFill patternType="solid">
          <fgColor rgb="FFDC2300"/>
          <bgColor rgb="FFDC2300"/>
        </patternFill>
      </fill>
    </dxf>
    <dxf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ont>
        <color rgb="FFFFFFFF"/>
      </font>
      <numFmt numFmtId="2" formatCode="0.00"/>
      <fill>
        <patternFill patternType="solid">
          <fgColor rgb="FFDC2300"/>
          <bgColor rgb="FFDC2300"/>
        </patternFill>
      </fill>
    </dxf>
    <dxf>
      <font>
        <color rgb="FFFFFFFF"/>
      </font>
      <numFmt numFmtId="2" formatCode="0.00"/>
      <fill>
        <patternFill patternType="solid">
          <fgColor rgb="FFDC2300"/>
          <bgColor rgb="FFDC2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00" b="0"/>
            </a:pPr>
            <a:r>
              <a:rPr lang="en-US"/>
              <a:t>Fractional Year Relative Contributions to Loss</a:t>
            </a:r>
          </a:p>
        </c:rich>
      </c:tx>
      <c:layout/>
    </c:title>
    <c:plotArea>
      <c:layout>
        <c:manualLayout>
          <c:xMode val="edge"/>
          <c:yMode val="edge"/>
          <c:x val="0.12702748657805521"/>
          <c:y val="0.16123681758456621"/>
          <c:w val="0.46459893087201826"/>
          <c:h val="0.75243848206130881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4586"/>
              </a:solidFill>
            </c:spPr>
          </c:dPt>
          <c:dPt>
            <c:idx val="1"/>
            <c:spPr>
              <a:solidFill>
                <a:srgbClr val="FF420E"/>
              </a:solidFill>
            </c:spPr>
          </c:dPt>
          <c:dPt>
            <c:idx val="2"/>
            <c:spPr>
              <a:solidFill>
                <a:srgbClr val="FFD320"/>
              </a:solidFill>
            </c:spPr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/>
                </a:pPr>
                <a:endParaRPr lang="en-US"/>
              </a:p>
            </c:txPr>
            <c:showVal val="1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Prediction!$O$15:$Q$15</c:f>
              <c:strCache>
                <c:ptCount val="3"/>
                <c:pt idx="0">
                  <c:v>Calendar Loss</c:v>
                </c:pt>
                <c:pt idx="1">
                  <c:v>Corrected Cycling Loss</c:v>
                </c:pt>
                <c:pt idx="2">
                  <c:v>Solar Loading Loss</c:v>
                </c:pt>
              </c:strCache>
            </c:strRef>
          </c:cat>
          <c:val>
            <c:numRef>
              <c:f>Prediction!$O$16:$Q$16</c:f>
              <c:numCache>
                <c:formatCode>0.00%</c:formatCode>
                <c:ptCount val="3"/>
                <c:pt idx="0">
                  <c:v>0.71136708345669986</c:v>
                </c:pt>
                <c:pt idx="1">
                  <c:v>0.1928223726097229</c:v>
                </c:pt>
                <c:pt idx="2">
                  <c:v>9.5810543933577269E-2</c:v>
                </c:pt>
              </c:numCache>
            </c:numRef>
          </c:val>
        </c:ser>
        <c:firstSliceAng val="90"/>
      </c:pieChart>
      <c:spPr>
        <a:noFill/>
        <a:ln>
          <a:solidFill>
            <a:srgbClr val="B3B3B3"/>
          </a:solidFill>
          <a:prstDash val="solid"/>
        </a:ln>
      </c:spPr>
    </c:plotArea>
    <c:legend>
      <c:legendPos val="r"/>
      <c:layout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en-US"/>
        </a:p>
      </c:txPr>
    </c:legend>
    <c:plotVisOnly val="1"/>
    <c:dispBlanksAs val="zero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00" b="0"/>
            </a:pPr>
            <a:r>
              <a:rPr lang="en-US"/>
              <a:t>End of Life Relative Contributions to Loss</a:t>
            </a:r>
          </a:p>
        </c:rich>
      </c:tx>
      <c:layout/>
    </c:title>
    <c:plotArea>
      <c:layout>
        <c:manualLayout>
          <c:xMode val="edge"/>
          <c:yMode val="edge"/>
          <c:x val="9.5678843310148476E-2"/>
          <c:y val="0.15465974855318299"/>
          <c:w val="0.53244975080782087"/>
          <c:h val="0.75733386549590886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4586"/>
              </a:solidFill>
            </c:spPr>
          </c:dPt>
          <c:dPt>
            <c:idx val="1"/>
            <c:spPr>
              <a:solidFill>
                <a:srgbClr val="FF420E"/>
              </a:solidFill>
            </c:spPr>
          </c:dPt>
          <c:dPt>
            <c:idx val="2"/>
            <c:spPr>
              <a:solidFill>
                <a:srgbClr val="FFD320"/>
              </a:solidFill>
            </c:spPr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/>
                </a:pPr>
                <a:endParaRPr lang="en-US"/>
              </a:p>
            </c:txPr>
            <c:showVal val="1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Prediction!$O$45:$Q$45</c:f>
              <c:strCache>
                <c:ptCount val="3"/>
                <c:pt idx="0">
                  <c:v>Calendar Loss</c:v>
                </c:pt>
                <c:pt idx="1">
                  <c:v>Corrected Cycling Loss</c:v>
                </c:pt>
                <c:pt idx="2">
                  <c:v>Solar Loading Loss</c:v>
                </c:pt>
              </c:strCache>
            </c:strRef>
          </c:cat>
          <c:val>
            <c:numRef>
              <c:f>Prediction!$O$46:$Q$46</c:f>
              <c:numCache>
                <c:formatCode>0.00%</c:formatCode>
                <c:ptCount val="3"/>
                <c:pt idx="0">
                  <c:v>0.56288229512473931</c:v>
                </c:pt>
                <c:pt idx="1">
                  <c:v>0.34130716094168345</c:v>
                </c:pt>
                <c:pt idx="2">
                  <c:v>9.5810543933577283E-2</c:v>
                </c:pt>
              </c:numCache>
            </c:numRef>
          </c:val>
        </c:ser>
        <c:firstSliceAng val="90"/>
      </c:pieChart>
      <c:spPr>
        <a:noFill/>
        <a:ln>
          <a:solidFill>
            <a:srgbClr val="B3B3B3"/>
          </a:solidFill>
          <a:prstDash val="solid"/>
        </a:ln>
      </c:spPr>
    </c:plotArea>
    <c:legend>
      <c:legendPos val="r"/>
      <c:layout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en-US"/>
        </a:p>
      </c:txPr>
    </c:legend>
    <c:plotVisOnly val="1"/>
    <c:dispBlanksAs val="zero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00" b="0"/>
            </a:pPr>
            <a:r>
              <a:rPr lang="en-US"/>
              <a:t>Fractional Year Relative Contributions to Loss</a:t>
            </a:r>
          </a:p>
        </c:rich>
      </c:tx>
    </c:title>
    <c:plotArea>
      <c:layout>
        <c:manualLayout>
          <c:xMode val="edge"/>
          <c:yMode val="edge"/>
          <c:x val="0.14237234211782188"/>
          <c:y val="0.12715426649852871"/>
          <c:w val="0.46481785884723481"/>
          <c:h val="0.80033627574611133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4586"/>
              </a:solidFill>
            </c:spPr>
          </c:dPt>
          <c:dPt>
            <c:idx val="1"/>
            <c:spPr>
              <a:solidFill>
                <a:srgbClr val="FF420E"/>
              </a:solidFill>
            </c:spPr>
          </c:dPt>
          <c:dPt>
            <c:idx val="2"/>
            <c:spPr>
              <a:solidFill>
                <a:srgbClr val="FFD320"/>
              </a:solidFill>
            </c:spPr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/>
                </a:pPr>
                <a:endParaRPr lang="en-US"/>
              </a:p>
            </c:txPr>
            <c:showVal val="1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Calibration!$O$68:$Q$68</c:f>
              <c:strCache>
                <c:ptCount val="3"/>
                <c:pt idx="0">
                  <c:v>Calendar Loss</c:v>
                </c:pt>
                <c:pt idx="1">
                  <c:v>Corrected Cycling Loss</c:v>
                </c:pt>
                <c:pt idx="2">
                  <c:v>Solar Loading Loss</c:v>
                </c:pt>
              </c:strCache>
            </c:strRef>
          </c:cat>
          <c:val>
            <c:numRef>
              <c:f>Calibration!$O$69:$Q$69</c:f>
              <c:numCache>
                <c:formatCode>0.00%</c:formatCode>
                <c:ptCount val="3"/>
                <c:pt idx="0">
                  <c:v>0.71430264798543841</c:v>
                </c:pt>
                <c:pt idx="1">
                  <c:v>0.18988680808098435</c:v>
                </c:pt>
                <c:pt idx="2">
                  <c:v>9.5810543933577269E-2</c:v>
                </c:pt>
              </c:numCache>
            </c:numRef>
          </c:val>
        </c:ser>
        <c:firstSliceAng val="90"/>
      </c:pieChart>
      <c:spPr>
        <a:noFill/>
        <a:ln>
          <a:solidFill>
            <a:srgbClr val="B3B3B3"/>
          </a:solidFill>
          <a:prstDash val="solid"/>
        </a:ln>
      </c:spPr>
    </c:plotArea>
    <c:legend>
      <c:legendPos val="r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en-US"/>
        </a:p>
      </c:txPr>
    </c:legend>
    <c:plotVisOnly val="1"/>
    <c:dispBlanksAs val="zero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00" b="0"/>
            </a:pPr>
            <a:r>
              <a:rPr lang="en-US"/>
              <a:t>End of Life Relative Contributions to Loss</a:t>
            </a:r>
          </a:p>
        </c:rich>
      </c:tx>
    </c:title>
    <c:plotArea>
      <c:layout>
        <c:manualLayout>
          <c:xMode val="edge"/>
          <c:yMode val="edge"/>
          <c:x val="0.10629400243502204"/>
          <c:y val="0.11322494778702512"/>
          <c:w val="0.53972791276269161"/>
          <c:h val="0.82438399201754453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4586"/>
              </a:solidFill>
            </c:spPr>
          </c:dPt>
          <c:dPt>
            <c:idx val="1"/>
            <c:spPr>
              <a:solidFill>
                <a:srgbClr val="FF420E"/>
              </a:solidFill>
            </c:spPr>
          </c:dPt>
          <c:dPt>
            <c:idx val="2"/>
            <c:spPr>
              <a:solidFill>
                <a:srgbClr val="FFD320"/>
              </a:solidFill>
            </c:spPr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/>
                </a:pPr>
                <a:endParaRPr lang="en-US"/>
              </a:p>
            </c:txPr>
            <c:showVal val="1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Calibration!$O$98:$Q$98</c:f>
              <c:strCache>
                <c:ptCount val="3"/>
                <c:pt idx="0">
                  <c:v>Calendar Loss</c:v>
                </c:pt>
                <c:pt idx="1">
                  <c:v>Corrected Cycling Loss</c:v>
                </c:pt>
                <c:pt idx="2">
                  <c:v>Solar Loading Loss</c:v>
                </c:pt>
              </c:strCache>
            </c:strRef>
          </c:cat>
          <c:val>
            <c:numRef>
              <c:f>Calibration!$O$99:$Q$99</c:f>
              <c:numCache>
                <c:formatCode>0.00%</c:formatCode>
                <c:ptCount val="3"/>
                <c:pt idx="0">
                  <c:v>0.56375063631256839</c:v>
                </c:pt>
                <c:pt idx="1">
                  <c:v>0.34043881975385415</c:v>
                </c:pt>
                <c:pt idx="2">
                  <c:v>9.5810543933577269E-2</c:v>
                </c:pt>
              </c:numCache>
            </c:numRef>
          </c:val>
        </c:ser>
        <c:firstSliceAng val="90"/>
      </c:pieChart>
      <c:spPr>
        <a:noFill/>
        <a:ln>
          <a:solidFill>
            <a:srgbClr val="B3B3B3"/>
          </a:solidFill>
          <a:prstDash val="solid"/>
        </a:ln>
      </c:spPr>
    </c:plotArea>
    <c:legend>
      <c:legendPos val="r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en-US"/>
        </a:p>
      </c:txPr>
    </c:legend>
    <c:plotVisOnly val="1"/>
    <c:dispBlanksAs val="zero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scatterChart>
        <c:scatterStyle val="lineMarker"/>
        <c:ser>
          <c:idx val="0"/>
          <c:order val="0"/>
          <c:spPr>
            <a:ln>
              <a:noFill/>
            </a:ln>
          </c:spPr>
          <c:marker>
            <c:symbol val="diamond"/>
            <c:size val="7"/>
          </c:marker>
          <c:xVal>
            <c:numRef>
              <c:f>Calibration!$AC$5:$AC$26</c:f>
              <c:numCache>
                <c:formatCode>0.00%</c:formatCode>
                <c:ptCount val="22"/>
                <c:pt idx="0">
                  <c:v>0.18041790098674645</c:v>
                </c:pt>
                <c:pt idx="1">
                  <c:v>0.20868901724430519</c:v>
                </c:pt>
                <c:pt idx="2">
                  <c:v>0.1516139178028352</c:v>
                </c:pt>
                <c:pt idx="3">
                  <c:v>0.13973679652084287</c:v>
                </c:pt>
                <c:pt idx="4">
                  <c:v>0.28622570211897352</c:v>
                </c:pt>
                <c:pt idx="5">
                  <c:v>0.15790739632569184</c:v>
                </c:pt>
                <c:pt idx="6">
                  <c:v>0.12949882003300112</c:v>
                </c:pt>
                <c:pt idx="7">
                  <c:v>0.11391090655884753</c:v>
                </c:pt>
                <c:pt idx="8">
                  <c:v>0.16718227376139982</c:v>
                </c:pt>
                <c:pt idx="9">
                  <c:v>0.1553930441437309</c:v>
                </c:pt>
                <c:pt idx="10">
                  <c:v>0.16425061692808637</c:v>
                </c:pt>
                <c:pt idx="11">
                  <c:v>0.21757426380453185</c:v>
                </c:pt>
                <c:pt idx="12">
                  <c:v>0.13880893294657146</c:v>
                </c:pt>
                <c:pt idx="13">
                  <c:v>0.10055224191872376</c:v>
                </c:pt>
                <c:pt idx="14">
                  <c:v>0.19526161628652858</c:v>
                </c:pt>
                <c:pt idx="15">
                  <c:v>0.15593231925361106</c:v>
                </c:pt>
                <c:pt idx="16">
                  <c:v>0.27734768960944794</c:v>
                </c:pt>
                <c:pt idx="17">
                  <c:v>0.10470266585788236</c:v>
                </c:pt>
                <c:pt idx="18">
                  <c:v>0.1444579008375787</c:v>
                </c:pt>
                <c:pt idx="19">
                  <c:v>0.18998359853999522</c:v>
                </c:pt>
                <c:pt idx="20">
                  <c:v>0.17790562379470243</c:v>
                </c:pt>
                <c:pt idx="21">
                  <c:v>0.1476988888668683</c:v>
                </c:pt>
              </c:numCache>
            </c:numRef>
          </c:xVal>
          <c:yVal>
            <c:numRef>
              <c:f>Calibration!$AH$5:$AH$26</c:f>
              <c:numCache>
                <c:formatCode>0%</c:formatCode>
                <c:ptCount val="22"/>
                <c:pt idx="0">
                  <c:v>0.9027259691945213</c:v>
                </c:pt>
                <c:pt idx="1">
                  <c:v>0.99669835407055196</c:v>
                </c:pt>
                <c:pt idx="2">
                  <c:v>1.0672590161883613</c:v>
                </c:pt>
                <c:pt idx="3">
                  <c:v>0.91816822760292471</c:v>
                </c:pt>
                <c:pt idx="4">
                  <c:v>1.0863573533908821</c:v>
                </c:pt>
                <c:pt idx="5">
                  <c:v>1.0094285012864865</c:v>
                </c:pt>
                <c:pt idx="6">
                  <c:v>1.0362154590372852</c:v>
                </c:pt>
                <c:pt idx="7">
                  <c:v>1.2098167323734035</c:v>
                </c:pt>
                <c:pt idx="8">
                  <c:v>1.0617718611460152</c:v>
                </c:pt>
                <c:pt idx="9">
                  <c:v>0.91988284941634513</c:v>
                </c:pt>
                <c:pt idx="10">
                  <c:v>1.0706142837854016</c:v>
                </c:pt>
                <c:pt idx="11">
                  <c:v>0.9795831167935164</c:v>
                </c:pt>
                <c:pt idx="12">
                  <c:v>0.95040373484223473</c:v>
                </c:pt>
                <c:pt idx="13">
                  <c:v>0.7145445514964156</c:v>
                </c:pt>
                <c:pt idx="14">
                  <c:v>1.0845633101536045</c:v>
                </c:pt>
                <c:pt idx="15">
                  <c:v>0.94186968571559082</c:v>
                </c:pt>
                <c:pt idx="16">
                  <c:v>1.0645312511332718</c:v>
                </c:pt>
                <c:pt idx="17">
                  <c:v>0.9918473016220295</c:v>
                </c:pt>
                <c:pt idx="18">
                  <c:v>1.075197367651189</c:v>
                </c:pt>
                <c:pt idx="19">
                  <c:v>1.0535169611185713</c:v>
                </c:pt>
                <c:pt idx="20">
                  <c:v>0.8620216005257294</c:v>
                </c:pt>
                <c:pt idx="21">
                  <c:v>1.0107254022911718</c:v>
                </c:pt>
              </c:numCache>
            </c:numRef>
          </c:yVal>
        </c:ser>
        <c:axId val="48911104"/>
        <c:axId val="48900736"/>
      </c:scatterChart>
      <c:valAx>
        <c:axId val="48900736"/>
        <c:scaling>
          <c:orientation val="minMax"/>
          <c:min val="0.60000000000000042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400" b="0"/>
                </a:pPr>
                <a:r>
                  <a:rPr lang="en-US"/>
                  <a:t>Actual Loss Percentage of Predicted Loss</a:t>
                </a:r>
              </a:p>
            </c:rich>
          </c:tx>
        </c:title>
        <c:numFmt formatCode="0%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48911104"/>
        <c:crossesAt val="0"/>
        <c:crossBetween val="midCat"/>
      </c:valAx>
      <c:valAx>
        <c:axId val="489111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400" b="0"/>
                </a:pPr>
                <a:r>
                  <a:rPr lang="en-US"/>
                  <a:t>Predicted Loss</a:t>
                </a:r>
              </a:p>
            </c:rich>
          </c:tx>
          <c:layout>
            <c:manualLayout>
              <c:xMode val="edge"/>
              <c:yMode val="edge"/>
              <c:x val="0.37916226440816608"/>
              <c:y val="0.9470300629505376"/>
            </c:manualLayout>
          </c:layout>
        </c:title>
        <c:numFmt formatCode="0.00%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48900736"/>
        <c:crossesAt val="0"/>
        <c:crossBetween val="midCat"/>
      </c:valAx>
      <c:spPr>
        <a:noFill/>
        <a:ln>
          <a:solidFill>
            <a:srgbClr val="B3B3B3"/>
          </a:solidFill>
          <a:prstDash val="solid"/>
        </a:ln>
      </c:spPr>
    </c:plotArea>
    <c:legend>
      <c:legendPos val="r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en-US"/>
        </a:p>
      </c:txPr>
    </c:legend>
    <c:plotVisOnly val="1"/>
    <c:dispBlanksAs val="gap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xMode val="edge"/>
          <c:yMode val="edge"/>
          <c:x val="5.0713352168230592E-2"/>
          <c:y val="9.5055413469735714E-2"/>
          <c:w val="0.78839480817561314"/>
          <c:h val="0.83791560102301832"/>
        </c:manualLayout>
      </c:layout>
      <c:scatterChart>
        <c:scatterStyle val="lineMarker"/>
        <c:ser>
          <c:idx val="0"/>
          <c:order val="0"/>
          <c:spPr>
            <a:ln>
              <a:noFill/>
            </a:ln>
          </c:spPr>
          <c:marker>
            <c:symbol val="square"/>
            <c:size val="7"/>
          </c:marker>
          <c:trendline>
            <c:spPr>
              <a:ln>
                <a:solidFill>
                  <a:srgbClr val="FF420E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-0.3998938060663656"/>
                  <c:y val="-0.15158506858891471"/>
                </c:manualLayout>
              </c:layout>
              <c:numFmt formatCode="General" sourceLinked="0"/>
            </c:trendlineLbl>
          </c:trendline>
          <c:xVal>
            <c:numRef>
              <c:f>'Degradation Model'!$I$24:$L$24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</c:numCache>
            </c:numRef>
          </c:xVal>
          <c:yVal>
            <c:numRef>
              <c:f>'Degradation Model'!$I$26:$L$26</c:f>
              <c:numCache>
                <c:formatCode>General</c:formatCode>
                <c:ptCount val="4"/>
                <c:pt idx="0">
                  <c:v>-0.94</c:v>
                </c:pt>
                <c:pt idx="1">
                  <c:v>-0.68</c:v>
                </c:pt>
                <c:pt idx="2">
                  <c:v>0.35</c:v>
                </c:pt>
                <c:pt idx="3">
                  <c:v>2</c:v>
                </c:pt>
              </c:numCache>
            </c:numRef>
          </c:yVal>
        </c:ser>
        <c:axId val="58611200"/>
        <c:axId val="58609664"/>
      </c:scatterChart>
      <c:valAx>
        <c:axId val="58609664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58611200"/>
        <c:crossesAt val="0"/>
        <c:crossBetween val="midCat"/>
      </c:valAx>
      <c:valAx>
        <c:axId val="58611200"/>
        <c:scaling>
          <c:orientation val="minMax"/>
        </c:scaling>
        <c:axPos val="b"/>
        <c:numFmt formatCode="General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58609664"/>
        <c:crossesAt val="0"/>
        <c:crossBetween val="midCat"/>
      </c:valAx>
      <c:spPr>
        <a:noFill/>
        <a:ln>
          <a:solidFill>
            <a:srgbClr val="B3B3B3"/>
          </a:solidFill>
          <a:prstDash val="solid"/>
        </a:ln>
      </c:spPr>
    </c:plotArea>
    <c:legend>
      <c:legendPos val="r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en-US"/>
        </a:p>
      </c:txPr>
    </c:legend>
    <c:plotVisOnly val="1"/>
    <c:dispBlanksAs val="gap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scatterChart>
        <c:scatterStyle val="lineMarker"/>
        <c:ser>
          <c:idx val="0"/>
          <c:order val="0"/>
          <c:spPr>
            <a:ln>
              <a:noFill/>
            </a:ln>
          </c:spPr>
          <c:marker>
            <c:symbol val="square"/>
            <c:size val="7"/>
          </c:marker>
          <c:trendline>
            <c:spPr>
              <a:ln>
                <a:solidFill>
                  <a:srgbClr val="004586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-0.58418890193807416"/>
                  <c:y val="-0.14218231318362479"/>
                </c:manualLayout>
              </c:layout>
              <c:numFmt formatCode="General" sourceLinked="0"/>
            </c:trendlineLbl>
          </c:trendline>
          <c:xVal>
            <c:numRef>
              <c:f>Validation!$O$4:$O$15</c:f>
              <c:numCache>
                <c:formatCode>0.00</c:formatCode>
                <c:ptCount val="12"/>
                <c:pt idx="0">
                  <c:v>84.759579665035844</c:v>
                </c:pt>
                <c:pt idx="1">
                  <c:v>82.174362867962756</c:v>
                </c:pt>
                <c:pt idx="2">
                  <c:v>85.905743274016103</c:v>
                </c:pt>
                <c:pt idx="3">
                  <c:v>84.907475561493555</c:v>
                </c:pt>
                <c:pt idx="4">
                  <c:v>83.962016435729225</c:v>
                </c:pt>
                <c:pt idx="5">
                  <c:v>82.880120305401633</c:v>
                </c:pt>
                <c:pt idx="6">
                  <c:v>85.477380544049709</c:v>
                </c:pt>
                <c:pt idx="7">
                  <c:v>85.510937489779366</c:v>
                </c:pt>
                <c:pt idx="8">
                  <c:v>84.654914876773475</c:v>
                </c:pt>
                <c:pt idx="9">
                  <c:v>93.491572775699808</c:v>
                </c:pt>
                <c:pt idx="10">
                  <c:v>96.011226548610637</c:v>
                </c:pt>
                <c:pt idx="11">
                  <c:v>81.371625975412456</c:v>
                </c:pt>
              </c:numCache>
            </c:numRef>
          </c:xVal>
          <c:yVal>
            <c:numRef>
              <c:f>Validation!$P$4:$P$15</c:f>
              <c:numCache>
                <c:formatCode>0.00</c:formatCode>
                <c:ptCount val="12"/>
                <c:pt idx="0">
                  <c:v>87</c:v>
                </c:pt>
                <c:pt idx="1">
                  <c:v>85</c:v>
                </c:pt>
                <c:pt idx="2">
                  <c:v>83</c:v>
                </c:pt>
                <c:pt idx="3">
                  <c:v>84.5</c:v>
                </c:pt>
                <c:pt idx="4" formatCode="General">
                  <c:v>78.7</c:v>
                </c:pt>
                <c:pt idx="5" formatCode="General">
                  <c:v>80.099999999999994</c:v>
                </c:pt>
                <c:pt idx="6" formatCode="General">
                  <c:v>84.5</c:v>
                </c:pt>
                <c:pt idx="7" formatCode="General">
                  <c:v>86.3</c:v>
                </c:pt>
                <c:pt idx="8" formatCode="General">
                  <c:v>90.1</c:v>
                </c:pt>
                <c:pt idx="9" formatCode="General">
                  <c:v>94.7</c:v>
                </c:pt>
                <c:pt idx="10" formatCode="General">
                  <c:v>100</c:v>
                </c:pt>
                <c:pt idx="11" formatCode="General">
                  <c:v>70.599999999999994</c:v>
                </c:pt>
              </c:numCache>
            </c:numRef>
          </c:yVal>
        </c:ser>
        <c:axId val="58547584"/>
        <c:axId val="58545664"/>
      </c:scatterChart>
      <c:valAx>
        <c:axId val="58545664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US"/>
                  <a:t>Actual Capacity</a:t>
                </a:r>
              </a:p>
            </c:rich>
          </c:tx>
        </c:title>
        <c:numFmt formatCode="0.00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58547584"/>
        <c:crossesAt val="0"/>
        <c:crossBetween val="midCat"/>
      </c:valAx>
      <c:valAx>
        <c:axId val="585475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US"/>
                  <a:t>Predicted Capacity</a:t>
                </a:r>
              </a:p>
            </c:rich>
          </c:tx>
        </c:title>
        <c:numFmt formatCode="0.00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58545664"/>
        <c:crossesAt val="0"/>
        <c:crossBetween val="midCat"/>
      </c:valAx>
      <c:spPr>
        <a:noFill/>
        <a:ln>
          <a:solidFill>
            <a:srgbClr val="B3B3B3"/>
          </a:solidFill>
          <a:prstDash val="solid"/>
        </a:ln>
      </c:spPr>
    </c:plotArea>
    <c:plotVisOnly val="1"/>
    <c:dispBlanksAs val="gap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00" b="0"/>
            </a:pPr>
            <a:r>
              <a:rPr lang="en-US"/>
              <a:t>Phoenix Range Test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val>
            <c:numRef>
              <c:f>Validation!$O$4:$O$15</c:f>
              <c:numCache>
                <c:formatCode>0.00</c:formatCode>
                <c:ptCount val="12"/>
                <c:pt idx="0">
                  <c:v>84.759579665035844</c:v>
                </c:pt>
                <c:pt idx="1">
                  <c:v>82.174362867962756</c:v>
                </c:pt>
                <c:pt idx="2">
                  <c:v>85.905743274016103</c:v>
                </c:pt>
                <c:pt idx="3">
                  <c:v>84.907475561493555</c:v>
                </c:pt>
                <c:pt idx="4">
                  <c:v>83.962016435729225</c:v>
                </c:pt>
                <c:pt idx="5">
                  <c:v>82.880120305401633</c:v>
                </c:pt>
                <c:pt idx="6">
                  <c:v>85.477380544049709</c:v>
                </c:pt>
                <c:pt idx="7">
                  <c:v>85.510937489779366</c:v>
                </c:pt>
                <c:pt idx="8">
                  <c:v>84.654914876773475</c:v>
                </c:pt>
                <c:pt idx="9">
                  <c:v>93.491572775699808</c:v>
                </c:pt>
                <c:pt idx="10">
                  <c:v>96.011226548610637</c:v>
                </c:pt>
                <c:pt idx="11">
                  <c:v>81.371625975412456</c:v>
                </c:pt>
              </c:numCache>
            </c:numRef>
          </c:val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val>
            <c:numRef>
              <c:f>Validation!$P$4:$P$15</c:f>
              <c:numCache>
                <c:formatCode>0.00</c:formatCode>
                <c:ptCount val="12"/>
                <c:pt idx="0">
                  <c:v>87</c:v>
                </c:pt>
                <c:pt idx="1">
                  <c:v>85</c:v>
                </c:pt>
                <c:pt idx="2">
                  <c:v>83</c:v>
                </c:pt>
                <c:pt idx="3">
                  <c:v>84.5</c:v>
                </c:pt>
                <c:pt idx="4" formatCode="General">
                  <c:v>78.7</c:v>
                </c:pt>
                <c:pt idx="5" formatCode="General">
                  <c:v>80.099999999999994</c:v>
                </c:pt>
                <c:pt idx="6" formatCode="General">
                  <c:v>84.5</c:v>
                </c:pt>
                <c:pt idx="7" formatCode="General">
                  <c:v>86.3</c:v>
                </c:pt>
                <c:pt idx="8" formatCode="General">
                  <c:v>90.1</c:v>
                </c:pt>
                <c:pt idx="9" formatCode="General">
                  <c:v>94.7</c:v>
                </c:pt>
                <c:pt idx="10" formatCode="General">
                  <c:v>100</c:v>
                </c:pt>
                <c:pt idx="11" formatCode="General">
                  <c:v>70.599999999999994</c:v>
                </c:pt>
              </c:numCache>
            </c:numRef>
          </c:val>
        </c:ser>
        <c:axId val="58578432"/>
        <c:axId val="58572160"/>
      </c:barChart>
      <c:valAx>
        <c:axId val="58572160"/>
        <c:scaling>
          <c:orientation val="minMax"/>
          <c:max val="100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US"/>
                  <a:t>Percent Capacity Remaining</a:t>
                </a:r>
              </a:p>
            </c:rich>
          </c:tx>
        </c:title>
        <c:numFmt formatCode="0.00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58578432"/>
        <c:crossesAt val="0"/>
        <c:crossBetween val="between"/>
        <c:majorUnit val="10"/>
      </c:valAx>
      <c:catAx>
        <c:axId val="585784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US"/>
                  <a:t>Predicted - Blue Actual - Red</a:t>
                </a:r>
              </a:p>
            </c:rich>
          </c:tx>
        </c:title>
        <c:numFmt formatCode="General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58572160"/>
        <c:crossesAt val="0"/>
        <c:auto val="1"/>
        <c:lblAlgn val="ctr"/>
        <c:lblOffset val="100"/>
      </c:catAx>
      <c:spPr>
        <a:noFill/>
        <a:ln>
          <a:solidFill>
            <a:srgbClr val="B3B3B3"/>
          </a:solidFill>
          <a:prstDash val="solid"/>
        </a:ln>
      </c:spPr>
    </c:plotArea>
    <c:plotVisOnly val="1"/>
    <c:dispBlanksAs val="gap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00" b="0"/>
            </a:pPr>
            <a:r>
              <a:rPr lang="en-US"/>
              <a:t>Phoenix Range Test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val>
            <c:numRef>
              <c:f>Validation!$N$4:$N$15</c:f>
              <c:numCache>
                <c:formatCode>0.00</c:formatCode>
                <c:ptCount val="12"/>
                <c:pt idx="0">
                  <c:v>15.240420334964153</c:v>
                </c:pt>
                <c:pt idx="1">
                  <c:v>17.82563713203724</c:v>
                </c:pt>
                <c:pt idx="2">
                  <c:v>14.094256725983891</c:v>
                </c:pt>
                <c:pt idx="3">
                  <c:v>15.092524438506452</c:v>
                </c:pt>
                <c:pt idx="4">
                  <c:v>16.037983564270771</c:v>
                </c:pt>
                <c:pt idx="5">
                  <c:v>17.119879694598367</c:v>
                </c:pt>
                <c:pt idx="6">
                  <c:v>14.522619455950299</c:v>
                </c:pt>
                <c:pt idx="7">
                  <c:v>14.489062510220631</c:v>
                </c:pt>
                <c:pt idx="8">
                  <c:v>15.345085123226529</c:v>
                </c:pt>
                <c:pt idx="9">
                  <c:v>6.5084272243001973</c:v>
                </c:pt>
                <c:pt idx="10">
                  <c:v>3.9887734513893567</c:v>
                </c:pt>
                <c:pt idx="11">
                  <c:v>18.628374024587551</c:v>
                </c:pt>
              </c:numCache>
            </c:numRef>
          </c:val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val>
            <c:numRef>
              <c:f>Validation!$T$4:$T$15</c:f>
              <c:numCache>
                <c:formatCode>0.00</c:formatCode>
                <c:ptCount val="12"/>
                <c:pt idx="0">
                  <c:v>13</c:v>
                </c:pt>
                <c:pt idx="1">
                  <c:v>15</c:v>
                </c:pt>
                <c:pt idx="2">
                  <c:v>17</c:v>
                </c:pt>
                <c:pt idx="3">
                  <c:v>15.5</c:v>
                </c:pt>
                <c:pt idx="4">
                  <c:v>21.299999999999997</c:v>
                </c:pt>
                <c:pt idx="5">
                  <c:v>19.900000000000006</c:v>
                </c:pt>
                <c:pt idx="6">
                  <c:v>15.5</c:v>
                </c:pt>
                <c:pt idx="7">
                  <c:v>13.700000000000003</c:v>
                </c:pt>
                <c:pt idx="8">
                  <c:v>9.9000000000000057</c:v>
                </c:pt>
                <c:pt idx="9">
                  <c:v>5.2999999999999972</c:v>
                </c:pt>
                <c:pt idx="10">
                  <c:v>0.3</c:v>
                </c:pt>
                <c:pt idx="11">
                  <c:v>29.400000000000006</c:v>
                </c:pt>
              </c:numCache>
            </c:numRef>
          </c:val>
        </c:ser>
        <c:axId val="59268480"/>
        <c:axId val="59266944"/>
      </c:barChart>
      <c:valAx>
        <c:axId val="59266944"/>
        <c:scaling>
          <c:orientation val="minMax"/>
          <c:max val="30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59268480"/>
        <c:crossesAt val="0"/>
        <c:crossBetween val="between"/>
      </c:valAx>
      <c:catAx>
        <c:axId val="592684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US"/>
                  <a:t>Blue - Predicted Red - Actual</a:t>
                </a:r>
              </a:p>
            </c:rich>
          </c:tx>
        </c:title>
        <c:numFmt formatCode="General" sourceLinked="1"/>
        <c:maj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en-US"/>
          </a:p>
        </c:txPr>
        <c:crossAx val="59266944"/>
        <c:crossesAt val="0"/>
        <c:auto val="1"/>
        <c:lblAlgn val="ctr"/>
        <c:lblOffset val="100"/>
      </c:catAx>
      <c:spPr>
        <a:noFill/>
        <a:ln>
          <a:solidFill>
            <a:srgbClr val="B3B3B3"/>
          </a:solidFill>
          <a:prstDash val="solid"/>
        </a:ln>
      </c:spPr>
    </c:plotArea>
    <c:plotVisOnly val="1"/>
    <c:dispBlanksAs val="gap"/>
  </c:chart>
  <c:spPr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788761</xdr:colOff>
      <xdr:row>16</xdr:row>
      <xdr:rowOff>143652</xdr:rowOff>
    </xdr:from>
    <xdr:ext cx="6568958" cy="3469325"/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1</xdr:col>
      <xdr:colOff>519836</xdr:colOff>
      <xdr:row>24</xdr:row>
      <xdr:rowOff>30266</xdr:rowOff>
    </xdr:from>
    <xdr:ext cx="270753" cy="1445026"/>
    <xdr:sp macro="" textlink="">
      <xdr:nvSpPr>
        <xdr:cNvPr id="3" name="Freeform 2"/>
        <xdr:cNvSpPr/>
      </xdr:nvSpPr>
      <xdr:spPr>
        <a:xfrm>
          <a:off x="1843811" y="4373666"/>
          <a:ext cx="270753" cy="1445026"/>
        </a:xfrm>
        <a:custGeom>
          <a:avLst>
            <a:gd name="f0" fmla="val 16200"/>
            <a:gd name="f1" fmla="val 5400"/>
          </a:avLst>
          <a:gdLst>
            <a:gd name="f2" fmla="val w"/>
            <a:gd name="f3" fmla="val h"/>
            <a:gd name="f4" fmla="val 0"/>
            <a:gd name="f5" fmla="val 21600"/>
            <a:gd name="f6" fmla="val 10800"/>
            <a:gd name="f7" fmla="*/ f2 1 21600"/>
            <a:gd name="f8" fmla="*/ f3 1 21600"/>
            <a:gd name="f9" fmla="pin 0 f1 10800"/>
            <a:gd name="f10" fmla="pin 0 f0 21600"/>
            <a:gd name="f11" fmla="val f9"/>
            <a:gd name="f12" fmla="val f10"/>
            <a:gd name="f13" fmla="+- 21600 0 f9"/>
            <a:gd name="f14" fmla="*/ f9 f7 1"/>
            <a:gd name="f15" fmla="*/ f10 f8 1"/>
            <a:gd name="f16" fmla="*/ 0 f8 1"/>
            <a:gd name="f17" fmla="+- 21600 0 f12"/>
            <a:gd name="f18" fmla="*/ f11 f7 1"/>
            <a:gd name="f19" fmla="*/ f13 f7 1"/>
            <a:gd name="f20" fmla="*/ f17 f11 1"/>
            <a:gd name="f21" fmla="*/ f20 1 10800"/>
            <a:gd name="f22" fmla="+- f12 f21 0"/>
            <a:gd name="f23" fmla="*/ f22 f8 1"/>
          </a:gdLst>
          <a:ahLst>
            <a:ahXY gdRefX="f1" minX="f4" maxX="f6" gdRefY="f0" minY="f4" maxY="f5">
              <a:pos x="f14" y="f15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8" t="f16" r="f19" b="f23"/>
          <a:pathLst>
            <a:path w="21600" h="21600">
              <a:moveTo>
                <a:pt x="f11" y="f4"/>
              </a:moveTo>
              <a:lnTo>
                <a:pt x="f11" y="f12"/>
              </a:lnTo>
              <a:lnTo>
                <a:pt x="f4" y="f12"/>
              </a:lnTo>
              <a:lnTo>
                <a:pt x="f6" y="f5"/>
              </a:lnTo>
              <a:lnTo>
                <a:pt x="f5" y="f12"/>
              </a:lnTo>
              <a:lnTo>
                <a:pt x="f13" y="f12"/>
              </a:lnTo>
              <a:lnTo>
                <a:pt x="f13" y="f4"/>
              </a:lnTo>
              <a:close/>
            </a:path>
          </a:pathLst>
        </a:custGeom>
        <a:solidFill>
          <a:schemeClr val="accent1"/>
        </a:solidFill>
        <a:ln w="25400">
          <a:solidFill>
            <a:schemeClr val="accent1">
              <a:shade val="50000"/>
            </a:schemeClr>
          </a:solidFill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lvl="0" rtl="0" hangingPunct="0">
            <a:buNone/>
            <a:tabLst/>
          </a:pPr>
          <a:endParaRPr lang="en-US" sz="1200">
            <a:latin typeface="Times New Roman" pitchFamily="18"/>
          </a:endParaRPr>
        </a:p>
      </xdr:txBody>
    </xdr:sp>
    <xdr:clientData/>
  </xdr:oneCellAnchor>
  <xdr:oneCellAnchor>
    <xdr:from>
      <xdr:col>12</xdr:col>
      <xdr:colOff>762883</xdr:colOff>
      <xdr:row>47</xdr:row>
      <xdr:rowOff>10424</xdr:rowOff>
    </xdr:from>
    <xdr:ext cx="6572890" cy="3607582"/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544708</xdr:colOff>
      <xdr:row>78</xdr:row>
      <xdr:rowOff>16550</xdr:rowOff>
    </xdr:from>
    <xdr:ext cx="277154" cy="620969"/>
    <xdr:sp macro="" textlink="">
      <xdr:nvSpPr>
        <xdr:cNvPr id="3" name="Freeform 2"/>
        <xdr:cNvSpPr/>
      </xdr:nvSpPr>
      <xdr:spPr>
        <a:xfrm>
          <a:off x="2116333" y="14132600"/>
          <a:ext cx="277154" cy="620969"/>
        </a:xfrm>
        <a:custGeom>
          <a:avLst>
            <a:gd name="f0" fmla="val 16200"/>
            <a:gd name="f1" fmla="val 5400"/>
          </a:avLst>
          <a:gdLst>
            <a:gd name="f2" fmla="val w"/>
            <a:gd name="f3" fmla="val h"/>
            <a:gd name="f4" fmla="val 0"/>
            <a:gd name="f5" fmla="val 21600"/>
            <a:gd name="f6" fmla="val 10800"/>
            <a:gd name="f7" fmla="*/ f2 1 21600"/>
            <a:gd name="f8" fmla="*/ f3 1 21600"/>
            <a:gd name="f9" fmla="pin 0 f1 10800"/>
            <a:gd name="f10" fmla="pin 0 f0 21600"/>
            <a:gd name="f11" fmla="val f9"/>
            <a:gd name="f12" fmla="val f10"/>
            <a:gd name="f13" fmla="+- 21600 0 f9"/>
            <a:gd name="f14" fmla="*/ f9 f7 1"/>
            <a:gd name="f15" fmla="*/ f10 f8 1"/>
            <a:gd name="f16" fmla="*/ 0 f8 1"/>
            <a:gd name="f17" fmla="+- 21600 0 f12"/>
            <a:gd name="f18" fmla="*/ f11 f7 1"/>
            <a:gd name="f19" fmla="*/ f13 f7 1"/>
            <a:gd name="f20" fmla="*/ f17 f11 1"/>
            <a:gd name="f21" fmla="*/ f20 1 10800"/>
            <a:gd name="f22" fmla="+- f12 f21 0"/>
            <a:gd name="f23" fmla="*/ f22 f8 1"/>
          </a:gdLst>
          <a:ahLst>
            <a:ahXY gdRefX="f1" minX="f4" maxX="f6" gdRefY="f0" minY="f4" maxY="f5">
              <a:pos x="f14" y="f15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8" t="f16" r="f19" b="f23"/>
          <a:pathLst>
            <a:path w="21600" h="21600">
              <a:moveTo>
                <a:pt x="f11" y="f4"/>
              </a:moveTo>
              <a:lnTo>
                <a:pt x="f11" y="f12"/>
              </a:lnTo>
              <a:lnTo>
                <a:pt x="f4" y="f12"/>
              </a:lnTo>
              <a:lnTo>
                <a:pt x="f6" y="f5"/>
              </a:lnTo>
              <a:lnTo>
                <a:pt x="f5" y="f12"/>
              </a:lnTo>
              <a:lnTo>
                <a:pt x="f13" y="f12"/>
              </a:lnTo>
              <a:lnTo>
                <a:pt x="f13" y="f4"/>
              </a:lnTo>
              <a:close/>
            </a:path>
          </a:pathLst>
        </a:custGeom>
        <a:solidFill>
          <a:schemeClr val="accent1"/>
        </a:solidFill>
        <a:ln w="25400">
          <a:solidFill>
            <a:schemeClr val="accent1">
              <a:shade val="50000"/>
            </a:schemeClr>
          </a:solidFill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lvl="0" rtl="0" hangingPunct="0">
            <a:buNone/>
            <a:tabLst/>
          </a:pPr>
          <a:endParaRPr lang="en-US" sz="1200">
            <a:latin typeface="Times New Roman" pitchFamily="18"/>
          </a:endParaRPr>
        </a:p>
      </xdr:txBody>
    </xdr:sp>
    <xdr:clientData/>
  </xdr:oneCellAnchor>
  <xdr:oneCellAnchor>
    <xdr:from>
      <xdr:col>12</xdr:col>
      <xdr:colOff>1028882</xdr:colOff>
      <xdr:row>71</xdr:row>
      <xdr:rowOff>87142</xdr:rowOff>
    </xdr:from>
    <xdr:ext cx="6788871" cy="3425799"/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13</xdr:col>
      <xdr:colOff>11521</xdr:colOff>
      <xdr:row>101</xdr:row>
      <xdr:rowOff>122072</xdr:rowOff>
    </xdr:from>
    <xdr:ext cx="6800392" cy="3519342"/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0</xdr:col>
      <xdr:colOff>1546524</xdr:colOff>
      <xdr:row>108</xdr:row>
      <xdr:rowOff>41056</xdr:rowOff>
    </xdr:from>
    <xdr:ext cx="10562417" cy="7618323"/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3200</xdr:colOff>
      <xdr:row>28</xdr:row>
      <xdr:rowOff>153710</xdr:rowOff>
    </xdr:from>
    <xdr:ext cx="6005139" cy="3377519"/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34198</xdr:colOff>
      <xdr:row>23</xdr:row>
      <xdr:rowOff>122803</xdr:rowOff>
    </xdr:from>
    <xdr:ext cx="7088428" cy="6443319"/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0</xdr:col>
      <xdr:colOff>89976</xdr:colOff>
      <xdr:row>65</xdr:row>
      <xdr:rowOff>155173</xdr:rowOff>
    </xdr:from>
    <xdr:ext cx="7824978" cy="6219383"/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0</xdr:col>
      <xdr:colOff>0</xdr:colOff>
      <xdr:row>23</xdr:row>
      <xdr:rowOff>146852</xdr:rowOff>
    </xdr:from>
    <xdr:ext cx="7892643" cy="6146962"/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tabSelected="1" workbookViewId="0">
      <selection activeCell="D4" sqref="D4"/>
    </sheetView>
  </sheetViews>
  <sheetFormatPr defaultRowHeight="14.25"/>
  <cols>
    <col min="1" max="1" width="17.375" customWidth="1"/>
    <col min="2" max="2" width="15.75" customWidth="1"/>
    <col min="3" max="3" width="11.375" customWidth="1"/>
    <col min="4" max="4" width="12.125" customWidth="1"/>
    <col min="5" max="5" width="15.75" customWidth="1"/>
    <col min="6" max="6" width="13.75" customWidth="1"/>
    <col min="7" max="8" width="14.75" customWidth="1"/>
    <col min="9" max="9" width="13.25" customWidth="1"/>
    <col min="10" max="10" width="12.25" customWidth="1"/>
    <col min="11" max="11" width="12.625" customWidth="1"/>
    <col min="12" max="13" width="10.75" customWidth="1"/>
    <col min="14" max="14" width="24" customWidth="1"/>
    <col min="15" max="15" width="13.375" customWidth="1"/>
    <col min="16" max="16" width="21.375" customWidth="1"/>
    <col min="17" max="17" width="16.875" customWidth="1"/>
    <col min="18" max="18" width="10.75" customWidth="1"/>
    <col min="19" max="19" width="13.125" customWidth="1"/>
    <col min="20" max="20" width="13.5" customWidth="1"/>
    <col min="21" max="21" width="13.75" customWidth="1"/>
    <col min="22" max="22" width="21.125" customWidth="1"/>
    <col min="23" max="23" width="17.875" customWidth="1"/>
    <col min="24" max="25" width="10.75" customWidth="1"/>
  </cols>
  <sheetData>
    <row r="1" spans="1:25">
      <c r="J1" s="2" t="s">
        <v>321</v>
      </c>
      <c r="K1" s="2" t="s">
        <v>0</v>
      </c>
    </row>
    <row r="2" spans="1:25">
      <c r="E2" s="3" t="s">
        <v>1</v>
      </c>
      <c r="F2" s="4"/>
      <c r="G2" s="4"/>
    </row>
    <row r="3" spans="1:25">
      <c r="Q3" s="5" t="e">
        <f>VLOOKUP(F13,'End of Life'!H8:I257,2,1)</f>
        <v>#N/A</v>
      </c>
    </row>
    <row r="4" spans="1:25">
      <c r="E4" s="7"/>
      <c r="F4" s="7"/>
      <c r="G4" s="7"/>
      <c r="H4" s="7"/>
      <c r="I4" s="7" t="s">
        <v>2</v>
      </c>
      <c r="J4" s="8" t="s">
        <v>3</v>
      </c>
      <c r="K4" s="8" t="s">
        <v>4</v>
      </c>
      <c r="L4" s="8" t="s">
        <v>5</v>
      </c>
      <c r="M4" s="8" t="s">
        <v>6</v>
      </c>
      <c r="N4" s="8" t="s">
        <v>7</v>
      </c>
      <c r="O4" s="8" t="s">
        <v>8</v>
      </c>
      <c r="P4" s="8" t="s">
        <v>8</v>
      </c>
      <c r="X4" s="9"/>
      <c r="Y4" s="9"/>
    </row>
    <row r="5" spans="1:25">
      <c r="E5" s="7"/>
      <c r="F5" s="7"/>
      <c r="G5" s="8" t="s">
        <v>9</v>
      </c>
      <c r="H5" s="8" t="s">
        <v>10</v>
      </c>
      <c r="I5" s="7" t="s">
        <v>10</v>
      </c>
      <c r="J5" s="8" t="s">
        <v>11</v>
      </c>
      <c r="K5" s="8" t="s">
        <v>10</v>
      </c>
      <c r="L5" s="8" t="s">
        <v>12</v>
      </c>
      <c r="M5" s="8" t="s">
        <v>13</v>
      </c>
      <c r="N5" s="8" t="s">
        <v>14</v>
      </c>
      <c r="O5" s="8" t="s">
        <v>15</v>
      </c>
      <c r="P5" s="8" t="s">
        <v>14</v>
      </c>
      <c r="X5" s="9"/>
      <c r="Y5" s="9"/>
    </row>
    <row r="6" spans="1:25">
      <c r="A6" s="10" t="s">
        <v>16</v>
      </c>
      <c r="B6" s="11" t="s">
        <v>17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X6" s="1"/>
      <c r="Y6" s="1"/>
    </row>
    <row r="7" spans="1:25">
      <c r="A7" s="10"/>
      <c r="B7" s="10"/>
      <c r="E7" s="7" t="s">
        <v>18</v>
      </c>
      <c r="F7" s="12">
        <f>(B16-B12)/365</f>
        <v>2.5123287671232877</v>
      </c>
      <c r="G7" s="13">
        <f>($O$9*Calibration!$B$49*SQRT(F7))-((0.32989795*F7)-1.302)</f>
        <v>11.255568453778169</v>
      </c>
      <c r="H7" s="13">
        <f>Calibration!$B$50*$O$9*($F$11/12500)*('Degradation Model'!$B$26/$B$8)</f>
        <v>2.8377685477820074</v>
      </c>
      <c r="I7" s="13">
        <f>IF(F9&lt;1,H7,(VLOOKUP(INT(F9)+1,$A$42:$L$56,4,1)-VLOOKUP(INT(F9),$A$42:$L$56,4,1))*(F9-INT(F9))+VLOOKUP(INT(F9),$A$42:$L$56,4,1))</f>
        <v>3.050921900662785</v>
      </c>
      <c r="J7" s="13">
        <f>(($O$10-1)*K7*$B$10/7)</f>
        <v>1.5159573178419927</v>
      </c>
      <c r="K7" s="13">
        <f>G7+I7</f>
        <v>14.306490354440953</v>
      </c>
      <c r="L7" s="13">
        <f>K7+J7</f>
        <v>15.822447672282946</v>
      </c>
      <c r="M7" s="13">
        <f>100-L7</f>
        <v>84.177552327717052</v>
      </c>
      <c r="N7" s="14">
        <f>281*M7/100</f>
        <v>236.5389220408849</v>
      </c>
      <c r="O7" s="15">
        <f>P7/281*100</f>
        <v>69.498904412919416</v>
      </c>
      <c r="P7" s="14">
        <f>M7*232/100</f>
        <v>195.29192140030355</v>
      </c>
      <c r="X7" s="16"/>
      <c r="Y7" s="16"/>
    </row>
    <row r="8" spans="1:25">
      <c r="A8" s="10" t="s">
        <v>19</v>
      </c>
      <c r="B8" s="17">
        <v>5.6</v>
      </c>
      <c r="E8" s="7"/>
      <c r="F8" s="7"/>
      <c r="X8" s="16"/>
      <c r="Y8" s="16"/>
    </row>
    <row r="9" spans="1:25">
      <c r="A9" s="10"/>
      <c r="B9" s="10"/>
      <c r="E9" s="7" t="s">
        <v>20</v>
      </c>
      <c r="F9" s="13">
        <f>(B16-B14)/365</f>
        <v>2.3534246575342466</v>
      </c>
      <c r="N9" s="7" t="s">
        <v>21</v>
      </c>
      <c r="O9" s="13">
        <f>VLOOKUP(Prediction!B6,'Aging Factor'!A145:G242,5,1)</f>
        <v>0.98588743092128528</v>
      </c>
      <c r="X9" s="16"/>
      <c r="Y9" s="16"/>
    </row>
    <row r="10" spans="1:25">
      <c r="A10" s="10" t="s">
        <v>22</v>
      </c>
      <c r="B10" s="17">
        <v>4</v>
      </c>
      <c r="E10" s="7"/>
      <c r="F10" s="7"/>
      <c r="H10" s="18" t="s">
        <v>23</v>
      </c>
      <c r="I10" s="19"/>
      <c r="K10" s="7" t="s">
        <v>24</v>
      </c>
      <c r="L10" s="20">
        <f>(B22-B20)/B22*100</f>
        <v>15.230188679245288</v>
      </c>
      <c r="N10" s="7" t="s">
        <v>25</v>
      </c>
      <c r="O10" s="13">
        <f>VLOOKUP(Prediction!B6,'Aging Factor'!A145:H242,8,1)</f>
        <v>1.1854350885855089</v>
      </c>
      <c r="X10" s="16"/>
      <c r="Y10" s="16"/>
    </row>
    <row r="11" spans="1:25">
      <c r="A11" s="10"/>
      <c r="B11" s="10"/>
      <c r="E11" s="7" t="s">
        <v>26</v>
      </c>
      <c r="F11" s="21">
        <v>21540</v>
      </c>
      <c r="H11" s="18" t="s">
        <v>27</v>
      </c>
      <c r="I11" s="19"/>
      <c r="X11" s="16"/>
      <c r="Y11" s="16"/>
    </row>
    <row r="12" spans="1:25">
      <c r="A12" s="10" t="s">
        <v>28</v>
      </c>
      <c r="B12" s="22">
        <v>40648</v>
      </c>
      <c r="E12" s="7"/>
      <c r="F12" s="7"/>
      <c r="H12" s="18" t="s">
        <v>29</v>
      </c>
      <c r="I12" s="19"/>
      <c r="K12" s="7" t="s">
        <v>30</v>
      </c>
      <c r="L12" s="13">
        <f>L10-L7</f>
        <v>-0.5922589930376585</v>
      </c>
      <c r="O12" s="4" t="s">
        <v>31</v>
      </c>
      <c r="X12" s="16"/>
      <c r="Y12" s="16"/>
    </row>
    <row r="13" spans="1:25">
      <c r="A13" s="10"/>
      <c r="B13" s="10"/>
      <c r="K13" s="7" t="s">
        <v>5</v>
      </c>
    </row>
    <row r="14" spans="1:25">
      <c r="A14" s="10" t="s">
        <v>32</v>
      </c>
      <c r="B14" s="22">
        <v>40706</v>
      </c>
    </row>
    <row r="15" spans="1:25">
      <c r="A15" s="10"/>
      <c r="B15" s="10"/>
      <c r="F15" s="8" t="s">
        <v>33</v>
      </c>
      <c r="G15" s="8" t="s">
        <v>34</v>
      </c>
      <c r="H15" s="8" t="s">
        <v>35</v>
      </c>
      <c r="I15" s="8" t="s">
        <v>36</v>
      </c>
      <c r="K15" s="7" t="s">
        <v>37</v>
      </c>
      <c r="L15" s="13">
        <f>L10/L7*100</f>
        <v>96.256843408146324</v>
      </c>
      <c r="O15" s="8" t="s">
        <v>9</v>
      </c>
      <c r="P15" s="8" t="s">
        <v>38</v>
      </c>
      <c r="Q15" s="8" t="s">
        <v>39</v>
      </c>
    </row>
    <row r="16" spans="1:25">
      <c r="A16" s="10" t="s">
        <v>40</v>
      </c>
      <c r="B16" s="22">
        <v>41565</v>
      </c>
      <c r="E16" s="7" t="s">
        <v>41</v>
      </c>
      <c r="F16" s="8" t="s">
        <v>42</v>
      </c>
      <c r="G16" s="8" t="s">
        <v>6</v>
      </c>
      <c r="H16" s="8" t="s">
        <v>33</v>
      </c>
      <c r="I16" s="8" t="s">
        <v>43</v>
      </c>
      <c r="K16" s="7" t="s">
        <v>44</v>
      </c>
      <c r="N16" s="7" t="s">
        <v>45</v>
      </c>
      <c r="O16" s="23">
        <f>O17/(SUM($O$17:$Q$17))</f>
        <v>0.71136708345669986</v>
      </c>
      <c r="P16" s="23">
        <f>P17/(SUM($O$17:$Q$17))</f>
        <v>0.1928223726097229</v>
      </c>
      <c r="Q16" s="23">
        <f>Q17/(SUM($O$17:$Q$17))</f>
        <v>9.5810543933577269E-2</v>
      </c>
    </row>
    <row r="17" spans="1:17">
      <c r="A17" s="10"/>
      <c r="B17" s="10"/>
      <c r="E17" s="7"/>
      <c r="F17" s="7"/>
      <c r="G17" s="7"/>
      <c r="H17" s="7"/>
      <c r="I17" s="7"/>
      <c r="N17" s="7" t="s">
        <v>46</v>
      </c>
      <c r="O17" s="23">
        <f>G7/100</f>
        <v>0.1125556845377817</v>
      </c>
      <c r="P17" s="23">
        <f>I7/100</f>
        <v>3.0509219006627852E-2</v>
      </c>
      <c r="Q17" s="23">
        <f>J7/100</f>
        <v>1.5159573178419927E-2</v>
      </c>
    </row>
    <row r="18" spans="1:17">
      <c r="A18" s="10" t="s">
        <v>47</v>
      </c>
      <c r="B18" s="24">
        <f>F11/((B16-B14)/365)</f>
        <v>9152.6193247962747</v>
      </c>
      <c r="E18" s="25">
        <v>90</v>
      </c>
      <c r="F18" s="13">
        <f>IF($L$7&gt;100-E18,$F$9,VLOOKUP(E18,'End of Life'!$H$8:$I$257,2,1))</f>
        <v>2.3534246575342466</v>
      </c>
      <c r="G18" s="13">
        <f t="shared" ref="G18:G26" si="0">F18-$F$9</f>
        <v>0</v>
      </c>
      <c r="H18" s="26">
        <f t="shared" ref="H18:H26" si="1">F18*$B$18</f>
        <v>21540</v>
      </c>
    </row>
    <row r="19" spans="1:17">
      <c r="A19" s="10"/>
      <c r="B19" s="10"/>
      <c r="E19" s="25">
        <v>85</v>
      </c>
      <c r="F19" s="13">
        <f>IF($L$7&gt;100-E19,$F$9,VLOOKUP(E19,'End of Life'!$H$8:$I$257,2,1))</f>
        <v>2.3534246575342466</v>
      </c>
      <c r="G19" s="13">
        <f t="shared" si="0"/>
        <v>0</v>
      </c>
      <c r="H19" s="26">
        <f t="shared" si="1"/>
        <v>21540</v>
      </c>
    </row>
    <row r="20" spans="1:17">
      <c r="A20" s="10" t="s">
        <v>48</v>
      </c>
      <c r="B20" s="27">
        <v>56.16</v>
      </c>
      <c r="E20" s="25">
        <v>80</v>
      </c>
      <c r="F20" s="13">
        <f>IF($L$7&gt;100-E20,$F$9,VLOOKUP(E20,'End of Life'!$H$8:$I$257,2,1))</f>
        <v>3.5999999999999868</v>
      </c>
      <c r="G20" s="13">
        <f t="shared" si="0"/>
        <v>1.2465753424657402</v>
      </c>
      <c r="H20" s="26">
        <f t="shared" si="1"/>
        <v>32949.429569266467</v>
      </c>
    </row>
    <row r="21" spans="1:17">
      <c r="A21" s="10"/>
      <c r="B21" s="10"/>
      <c r="E21" s="25">
        <v>75</v>
      </c>
      <c r="F21" s="13">
        <f>IF($L$7&gt;100-E21,$F$9,VLOOKUP(E21,'End of Life'!$H$8:$I$257,2,1))</f>
        <v>5.1999999999999833</v>
      </c>
      <c r="G21" s="13">
        <f t="shared" si="0"/>
        <v>2.8465753424657367</v>
      </c>
      <c r="H21" s="26">
        <f t="shared" si="1"/>
        <v>47593.620488940476</v>
      </c>
    </row>
    <row r="22" spans="1:17">
      <c r="A22" s="10" t="s">
        <v>49</v>
      </c>
      <c r="B22" s="28">
        <v>66.25</v>
      </c>
      <c r="E22" s="25">
        <v>70</v>
      </c>
      <c r="F22" s="13">
        <f>IF($L$7&gt;100-E22,$F$9,VLOOKUP(E22,'End of Life'!$H$8:$I$257,2,1))</f>
        <v>6.8999999999999773</v>
      </c>
      <c r="G22" s="13">
        <f t="shared" si="0"/>
        <v>4.5465753424657311</v>
      </c>
      <c r="H22" s="26">
        <f t="shared" si="1"/>
        <v>63153.073341094088</v>
      </c>
      <c r="I22" s="29" t="str">
        <f>IF(AND(F22&lt;=5,H22&lt;60000),"Yes","No")</f>
        <v>No</v>
      </c>
    </row>
    <row r="23" spans="1:17">
      <c r="E23" s="25">
        <v>65</v>
      </c>
      <c r="F23" s="13">
        <f>IF($L$7&gt;100-E23,$F$9,VLOOKUP(E23,'End of Life'!$H$8:$I$257,2,1))</f>
        <v>8.4999999999999716</v>
      </c>
      <c r="G23" s="13">
        <f t="shared" si="0"/>
        <v>6.1465753424657255</v>
      </c>
      <c r="H23" s="26">
        <f t="shared" si="1"/>
        <v>77797.264260768075</v>
      </c>
      <c r="I23" s="29" t="str">
        <f>IF(AND(F23&lt;=5,H23&lt;60000),"Yes","No")</f>
        <v>No</v>
      </c>
    </row>
    <row r="24" spans="1:17">
      <c r="E24" s="25">
        <v>60</v>
      </c>
      <c r="F24" s="13">
        <f>IF($L$7&gt;100-E24,$F$9,VLOOKUP(E24,'End of Life'!$H$8:$I$257,2,1))</f>
        <v>10.199999999999966</v>
      </c>
      <c r="G24" s="13">
        <f t="shared" si="0"/>
        <v>7.8465753424657194</v>
      </c>
      <c r="H24" s="26">
        <f t="shared" si="1"/>
        <v>93356.717112921688</v>
      </c>
    </row>
    <row r="25" spans="1:17">
      <c r="E25" s="25">
        <v>55</v>
      </c>
      <c r="F25" s="13">
        <f>IF($L$7&gt;100-E25,$F$9,VLOOKUP(E25,'End of Life'!$H$8:$I$257,2,1))</f>
        <v>11.79999999999996</v>
      </c>
      <c r="G25" s="13">
        <f t="shared" si="0"/>
        <v>9.4465753424657137</v>
      </c>
      <c r="H25" s="26">
        <f t="shared" si="1"/>
        <v>108000.90803259567</v>
      </c>
    </row>
    <row r="26" spans="1:17">
      <c r="E26" s="25">
        <v>50</v>
      </c>
      <c r="F26" s="13">
        <f>IF($L$7&gt;100-E26,$F$9,VLOOKUP(E26,'End of Life'!$H$8:$I$257,2,1))</f>
        <v>13.399999999999954</v>
      </c>
      <c r="G26" s="13">
        <f t="shared" si="0"/>
        <v>11.046575342465708</v>
      </c>
      <c r="H26" s="26">
        <f t="shared" si="1"/>
        <v>122645.09895226966</v>
      </c>
    </row>
    <row r="29" spans="1:17">
      <c r="E29" s="8" t="s">
        <v>6</v>
      </c>
      <c r="F29" s="8" t="s">
        <v>50</v>
      </c>
      <c r="G29" s="8" t="s">
        <v>5</v>
      </c>
      <c r="H29" s="8" t="s">
        <v>51</v>
      </c>
    </row>
    <row r="30" spans="1:17">
      <c r="E30" s="8" t="s">
        <v>52</v>
      </c>
      <c r="F30" s="8" t="s">
        <v>15</v>
      </c>
      <c r="G30" s="8" t="s">
        <v>15</v>
      </c>
      <c r="H30" s="8" t="s">
        <v>15</v>
      </c>
    </row>
    <row r="31" spans="1:17">
      <c r="E31" s="8"/>
      <c r="F31" s="8"/>
      <c r="G31" s="8"/>
      <c r="H31" s="8"/>
    </row>
    <row r="32" spans="1:17">
      <c r="E32" s="8" t="s">
        <v>7</v>
      </c>
      <c r="F32" s="30">
        <f>237/281*100</f>
        <v>84.341637010676152</v>
      </c>
      <c r="G32" s="15">
        <f>M7</f>
        <v>84.177552327717052</v>
      </c>
      <c r="H32" s="15">
        <f>+F32-M7</f>
        <v>0.16408468295909984</v>
      </c>
    </row>
    <row r="33" spans="1:17">
      <c r="E33" s="8"/>
      <c r="F33" s="7"/>
      <c r="G33" s="31"/>
      <c r="H33" s="7"/>
    </row>
    <row r="34" spans="1:17">
      <c r="E34" s="8" t="s">
        <v>8</v>
      </c>
      <c r="F34" s="30">
        <f>197/281*100</f>
        <v>70.106761565836294</v>
      </c>
      <c r="G34" s="15">
        <f>O7</f>
        <v>69.498904412919416</v>
      </c>
      <c r="H34" s="15">
        <f>+F34-O7</f>
        <v>0.60785715291687836</v>
      </c>
    </row>
    <row r="37" spans="1:17">
      <c r="A37" s="3" t="s">
        <v>53</v>
      </c>
    </row>
    <row r="39" spans="1:17">
      <c r="A39" s="29"/>
      <c r="B39" s="29" t="s">
        <v>54</v>
      </c>
      <c r="C39" s="29" t="s">
        <v>54</v>
      </c>
      <c r="D39" s="29" t="s">
        <v>2</v>
      </c>
      <c r="E39" s="29" t="s">
        <v>3</v>
      </c>
      <c r="F39" s="29" t="s">
        <v>4</v>
      </c>
      <c r="G39" s="29" t="s">
        <v>54</v>
      </c>
      <c r="H39" s="29" t="s">
        <v>55</v>
      </c>
      <c r="I39" s="29" t="s">
        <v>6</v>
      </c>
      <c r="J39" s="29" t="s">
        <v>7</v>
      </c>
      <c r="K39" s="29" t="s">
        <v>8</v>
      </c>
      <c r="L39" s="29" t="s">
        <v>8</v>
      </c>
    </row>
    <row r="40" spans="1:17">
      <c r="A40" s="29" t="s">
        <v>56</v>
      </c>
      <c r="B40" s="29" t="s">
        <v>9</v>
      </c>
      <c r="C40" s="29" t="s">
        <v>10</v>
      </c>
      <c r="D40" s="29" t="s">
        <v>10</v>
      </c>
      <c r="E40" s="29" t="s">
        <v>11</v>
      </c>
      <c r="F40" s="29" t="s">
        <v>10</v>
      </c>
      <c r="G40" s="29" t="s">
        <v>12</v>
      </c>
      <c r="H40" s="29" t="s">
        <v>57</v>
      </c>
      <c r="I40" s="29" t="s">
        <v>52</v>
      </c>
      <c r="J40" s="29" t="s">
        <v>14</v>
      </c>
      <c r="K40" s="29" t="s">
        <v>15</v>
      </c>
      <c r="L40" s="29" t="s">
        <v>14</v>
      </c>
    </row>
    <row r="41" spans="1:17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7">
      <c r="A42" s="32">
        <v>1</v>
      </c>
      <c r="B42" s="13">
        <f>($O$9*SQRT(A42+$F$7-$F$9)*Calibration!$B$49)-((0.32989795*(A42+$F$7-$F$9))-1.302)</f>
        <v>8.2428677176008254</v>
      </c>
      <c r="C42" s="13">
        <f>A42*Calibration!$B$50*$O$9*($B$18/12500)*('Degradation Model'!$B$26/$B$8)</f>
        <v>1.2058038648899101</v>
      </c>
      <c r="D42" s="13">
        <f>C42</f>
        <v>1.2058038648899101</v>
      </c>
      <c r="E42" s="13">
        <f t="shared" ref="E42:E56" si="2">(($O$10-1)*F42*$B$10/7)</f>
        <v>1.0012087153797433</v>
      </c>
      <c r="F42" s="13">
        <f t="shared" ref="F42:F56" si="3">B42+D42</f>
        <v>9.4486715824907357</v>
      </c>
      <c r="G42" s="13">
        <f t="shared" ref="G42:G56" si="4">F42+E42</f>
        <v>10.449880297870479</v>
      </c>
      <c r="H42" s="13">
        <f>G42</f>
        <v>10.449880297870479</v>
      </c>
      <c r="I42" s="13">
        <f t="shared" ref="I42:I56" si="5">IF(100-G42&lt;5,5,100-G42)</f>
        <v>89.550119702129521</v>
      </c>
      <c r="J42" s="33">
        <f t="shared" ref="J42:J56" si="6">IF(281*I42/100&gt;0,281*I42/100,0)</f>
        <v>251.63583636298392</v>
      </c>
      <c r="K42" s="15">
        <f t="shared" ref="K42:K56" si="7">IF(L42/281*100&gt;0,L42/281*100,0)</f>
        <v>73.934618401758186</v>
      </c>
      <c r="L42" s="14">
        <f t="shared" ref="L42:L56" si="8">IF(I42*232/100&gt;0,I42*232/100,0)</f>
        <v>207.7562777089405</v>
      </c>
    </row>
    <row r="43" spans="1:17">
      <c r="A43" s="28">
        <f t="shared" ref="A43:A56" si="9">A42+1</f>
        <v>2</v>
      </c>
      <c r="B43" s="13">
        <f>($O$9*SQRT(A43+$F$7-$F$9)*Calibration!$B$49)-((0.32989795*(A43+$F$7-$F$9))-1.302)</f>
        <v>10.585018978931062</v>
      </c>
      <c r="C43" s="13">
        <f>A43*Calibration!$B$50*$O$9*($B$18/12500)*('Degradation Model'!$B$26/$B$8)</f>
        <v>2.4116077297798202</v>
      </c>
      <c r="D43" s="13">
        <f t="shared" ref="D43:D56" si="10">D42+($C$42*100/I42)</f>
        <v>2.5523167103230309</v>
      </c>
      <c r="E43" s="13">
        <f t="shared" si="2"/>
        <v>1.3920702898939437</v>
      </c>
      <c r="F43" s="13">
        <f t="shared" si="3"/>
        <v>13.137335689254094</v>
      </c>
      <c r="G43" s="13">
        <f t="shared" si="4"/>
        <v>14.529405979148038</v>
      </c>
      <c r="H43" s="13">
        <f t="shared" ref="H43:H56" si="11">G43-G42</f>
        <v>4.0795256812775591</v>
      </c>
      <c r="I43" s="13">
        <f t="shared" si="5"/>
        <v>85.470594020851962</v>
      </c>
      <c r="J43" s="14">
        <f t="shared" si="6"/>
        <v>240.17236919859403</v>
      </c>
      <c r="K43" s="15">
        <f t="shared" si="7"/>
        <v>70.56646908483151</v>
      </c>
      <c r="L43" s="14">
        <f t="shared" si="8"/>
        <v>198.29177812837654</v>
      </c>
      <c r="O43" s="4" t="s">
        <v>58</v>
      </c>
    </row>
    <row r="44" spans="1:17">
      <c r="A44" s="28">
        <f t="shared" si="9"/>
        <v>3</v>
      </c>
      <c r="B44" s="13">
        <f>($O$9*SQRT(A44+$F$7-$F$9)*Calibration!$B$49)-((0.32989795*(A44+$F$7-$F$9))-1.302)</f>
        <v>12.350394605662469</v>
      </c>
      <c r="C44" s="13">
        <f>A44*Calibration!$B$50*$O$9*($B$18/12500)*('Degradation Model'!$B$26/$B$8)</f>
        <v>3.6174115946697305</v>
      </c>
      <c r="D44" s="13">
        <f t="shared" si="10"/>
        <v>3.9630988380285368</v>
      </c>
      <c r="E44" s="13">
        <f t="shared" si="2"/>
        <v>1.7286252010685492</v>
      </c>
      <c r="F44" s="13">
        <f t="shared" si="3"/>
        <v>16.313493443691005</v>
      </c>
      <c r="G44" s="13">
        <f t="shared" si="4"/>
        <v>18.042118644759555</v>
      </c>
      <c r="H44" s="13">
        <f t="shared" si="11"/>
        <v>3.5127126656115166</v>
      </c>
      <c r="I44" s="13">
        <f t="shared" si="5"/>
        <v>81.957881355240445</v>
      </c>
      <c r="J44" s="14">
        <f t="shared" si="6"/>
        <v>230.30164660822564</v>
      </c>
      <c r="K44" s="15">
        <f t="shared" si="7"/>
        <v>67.666293503259027</v>
      </c>
      <c r="L44" s="14">
        <f t="shared" si="8"/>
        <v>190.14228474415785</v>
      </c>
    </row>
    <row r="45" spans="1:17">
      <c r="A45" s="28">
        <f t="shared" si="9"/>
        <v>4</v>
      </c>
      <c r="B45" s="13">
        <f>($O$9*SQRT(A45+$F$7-$F$9)*Calibration!$B$49)-((0.32989795*(A45+$F$7-$F$9))-1.302)</f>
        <v>13.802841925431705</v>
      </c>
      <c r="C45" s="13">
        <f>A45*Calibration!$B$50*$O$9*($B$18/12500)*('Degradation Model'!$B$26/$B$8)</f>
        <v>4.8232154595596404</v>
      </c>
      <c r="D45" s="13">
        <f t="shared" si="10"/>
        <v>5.4343470510752372</v>
      </c>
      <c r="E45" s="13">
        <f t="shared" si="2"/>
        <v>2.0384284811398521</v>
      </c>
      <c r="F45" s="13">
        <f t="shared" si="3"/>
        <v>19.237188976506943</v>
      </c>
      <c r="G45" s="13">
        <f t="shared" si="4"/>
        <v>21.275617457646796</v>
      </c>
      <c r="H45" s="13">
        <f t="shared" si="11"/>
        <v>3.2334988128872411</v>
      </c>
      <c r="I45" s="13">
        <f t="shared" si="5"/>
        <v>78.724382542353197</v>
      </c>
      <c r="J45" s="14">
        <f t="shared" si="6"/>
        <v>221.21551494401251</v>
      </c>
      <c r="K45" s="15">
        <f t="shared" si="7"/>
        <v>64.996643237814737</v>
      </c>
      <c r="L45" s="14">
        <f t="shared" si="8"/>
        <v>182.6405674982594</v>
      </c>
      <c r="O45" s="8" t="s">
        <v>9</v>
      </c>
      <c r="P45" s="8" t="s">
        <v>38</v>
      </c>
      <c r="Q45" s="8" t="s">
        <v>39</v>
      </c>
    </row>
    <row r="46" spans="1:17">
      <c r="A46" s="32">
        <f t="shared" si="9"/>
        <v>5</v>
      </c>
      <c r="B46" s="13">
        <f>($O$9*SQRT(A46+$F$7-$F$9)*Calibration!$B$49)-((0.32989795*(A46+$F$7-$F$9))-1.302)</f>
        <v>15.051036730141725</v>
      </c>
      <c r="C46" s="13">
        <f>A46*Calibration!$B$50*$O$9*($B$18/12500)*('Degradation Model'!$B$26/$B$8)</f>
        <v>6.0290193244495507</v>
      </c>
      <c r="D46" s="13">
        <f t="shared" si="10"/>
        <v>6.9660248184317428</v>
      </c>
      <c r="E46" s="13">
        <f t="shared" si="2"/>
        <v>2.332991862087042</v>
      </c>
      <c r="F46" s="13">
        <f t="shared" si="3"/>
        <v>22.017061548573466</v>
      </c>
      <c r="G46" s="13">
        <f t="shared" si="4"/>
        <v>24.350053410660507</v>
      </c>
      <c r="H46" s="13">
        <f t="shared" si="11"/>
        <v>3.0744359530137118</v>
      </c>
      <c r="I46" s="13">
        <f t="shared" si="5"/>
        <v>75.649946589339493</v>
      </c>
      <c r="J46" s="33">
        <f t="shared" si="6"/>
        <v>212.57634991604399</v>
      </c>
      <c r="K46" s="15">
        <f t="shared" si="7"/>
        <v>62.45831889226605</v>
      </c>
      <c r="L46" s="14">
        <f t="shared" si="8"/>
        <v>175.50787608726762</v>
      </c>
      <c r="N46" s="7" t="s">
        <v>45</v>
      </c>
      <c r="O46" s="23">
        <f>O47/(SUM($O$47:$Q$47))</f>
        <v>0.56288229512473931</v>
      </c>
      <c r="P46" s="23">
        <f>P47/(SUM($O$47:$Q$47))</f>
        <v>0.34130716094168345</v>
      </c>
      <c r="Q46" s="23">
        <f>Q47/(SUM($O$47:$Q$47))</f>
        <v>9.5810543933577283E-2</v>
      </c>
    </row>
    <row r="47" spans="1:17">
      <c r="A47" s="28">
        <f t="shared" si="9"/>
        <v>6</v>
      </c>
      <c r="B47" s="13">
        <f>($O$9*SQRT(A47+$F$7-$F$9)*Calibration!$B$49)-((0.32989795*(A47+$F$7-$F$9))-1.302)</f>
        <v>16.152355206624676</v>
      </c>
      <c r="C47" s="13">
        <f>A47*Calibration!$B$50*$O$9*($B$18/12500)*('Degradation Model'!$B$26/$B$8)</f>
        <v>7.234823189339461</v>
      </c>
      <c r="D47" s="13">
        <f t="shared" si="10"/>
        <v>8.5599504181886505</v>
      </c>
      <c r="E47" s="13">
        <f t="shared" si="2"/>
        <v>2.6185877615368169</v>
      </c>
      <c r="F47" s="13">
        <f t="shared" si="3"/>
        <v>24.712305624813325</v>
      </c>
      <c r="G47" s="13">
        <f t="shared" si="4"/>
        <v>27.330893386350141</v>
      </c>
      <c r="H47" s="13">
        <f t="shared" si="11"/>
        <v>2.9808399756896335</v>
      </c>
      <c r="I47" s="13">
        <f t="shared" si="5"/>
        <v>72.669106613649859</v>
      </c>
      <c r="J47" s="14">
        <f t="shared" si="6"/>
        <v>204.20018958435611</v>
      </c>
      <c r="K47" s="15">
        <f t="shared" si="7"/>
        <v>59.997269517319459</v>
      </c>
      <c r="L47" s="14">
        <f t="shared" si="8"/>
        <v>168.59232734366768</v>
      </c>
      <c r="N47" s="7" t="s">
        <v>46</v>
      </c>
      <c r="O47" s="23">
        <f>VLOOKUP($F$22,'End of Life'!$A$8:$I$257,2,0)/100</f>
        <v>0.17046898458847032</v>
      </c>
      <c r="P47" s="23">
        <f>VLOOKUP($F$22,'End of Life'!$A$8:$I$257,4,0)/100</f>
        <v>0.10336492311524691</v>
      </c>
      <c r="Q47" s="23">
        <f>VLOOKUP($F$22,'End of Life'!$A$8:$I$257,5,0)/100</f>
        <v>2.9016237104431363E-2</v>
      </c>
    </row>
    <row r="48" spans="1:17">
      <c r="A48" s="28">
        <f t="shared" si="9"/>
        <v>7</v>
      </c>
      <c r="B48" s="13">
        <f>($O$9*SQRT(A48+$F$7-$F$9)*Calibration!$B$49)-((0.32989795*(A48+$F$7-$F$9))-1.302)</f>
        <v>17.141478436746116</v>
      </c>
      <c r="C48" s="13">
        <f>A48*Calibration!$B$50*$O$9*($B$18/12500)*('Degradation Model'!$B$26/$B$8)</f>
        <v>8.4406270542293704</v>
      </c>
      <c r="D48" s="13">
        <f t="shared" si="10"/>
        <v>10.219257820026748</v>
      </c>
      <c r="E48" s="13">
        <f t="shared" si="2"/>
        <v>2.8992231723082411</v>
      </c>
      <c r="F48" s="13">
        <f t="shared" si="3"/>
        <v>27.360736256772864</v>
      </c>
      <c r="G48" s="13">
        <f t="shared" si="4"/>
        <v>30.259959429081103</v>
      </c>
      <c r="H48" s="13">
        <f t="shared" si="11"/>
        <v>2.9290660427309625</v>
      </c>
      <c r="I48" s="13">
        <f t="shared" si="5"/>
        <v>69.740040570918893</v>
      </c>
      <c r="J48" s="14">
        <f t="shared" si="6"/>
        <v>195.9695140042821</v>
      </c>
      <c r="K48" s="15">
        <f t="shared" si="7"/>
        <v>57.578965880616309</v>
      </c>
      <c r="L48" s="14">
        <f t="shared" si="8"/>
        <v>161.79689412453183</v>
      </c>
    </row>
    <row r="49" spans="1:12">
      <c r="A49" s="28">
        <f t="shared" si="9"/>
        <v>8</v>
      </c>
      <c r="B49" s="13">
        <f>($O$9*SQRT(A49+$F$7-$F$9)*Calibration!$B$49)-((0.32989795*(A49+$F$7-$F$9))-1.302)</f>
        <v>18.041268235709612</v>
      </c>
      <c r="C49" s="13">
        <f>A49*Calibration!$B$50*$O$9*($B$18/12500)*('Degradation Model'!$B$26/$B$8)</f>
        <v>9.6464309191192807</v>
      </c>
      <c r="D49" s="13">
        <f t="shared" si="10"/>
        <v>11.948255760117883</v>
      </c>
      <c r="E49" s="13">
        <f t="shared" si="2"/>
        <v>3.1777771650305815</v>
      </c>
      <c r="F49" s="13">
        <f t="shared" si="3"/>
        <v>29.989523995827497</v>
      </c>
      <c r="G49" s="13">
        <f t="shared" si="4"/>
        <v>33.167301160858081</v>
      </c>
      <c r="H49" s="13">
        <f t="shared" si="11"/>
        <v>2.9073417317769774</v>
      </c>
      <c r="I49" s="13">
        <f t="shared" si="5"/>
        <v>66.832698839141926</v>
      </c>
      <c r="J49" s="14">
        <f t="shared" si="6"/>
        <v>187.79988373798881</v>
      </c>
      <c r="K49" s="15">
        <f t="shared" si="7"/>
        <v>55.178598329825356</v>
      </c>
      <c r="L49" s="14">
        <f t="shared" si="8"/>
        <v>155.05186130680926</v>
      </c>
    </row>
    <row r="50" spans="1:12">
      <c r="A50" s="28">
        <f t="shared" si="9"/>
        <v>9</v>
      </c>
      <c r="B50" s="13">
        <f>($O$9*SQRT(A50+$F$7-$F$9)*Calibration!$B$49)-((0.32989795*(A50+$F$7-$F$9))-1.302)</f>
        <v>18.867738642549682</v>
      </c>
      <c r="C50" s="13">
        <f>A50*Calibration!$B$50*$O$9*($B$18/12500)*('Degradation Model'!$B$26/$B$8)</f>
        <v>10.852234784009189</v>
      </c>
      <c r="D50" s="13">
        <f t="shared" si="10"/>
        <v>13.752468197793236</v>
      </c>
      <c r="E50" s="13">
        <f t="shared" si="2"/>
        <v>3.4565319686380649</v>
      </c>
      <c r="F50" s="13">
        <f t="shared" si="3"/>
        <v>32.620206840342917</v>
      </c>
      <c r="G50" s="13">
        <f t="shared" si="4"/>
        <v>36.076738808980984</v>
      </c>
      <c r="H50" s="13">
        <f t="shared" si="11"/>
        <v>2.9094376481229034</v>
      </c>
      <c r="I50" s="13">
        <f t="shared" si="5"/>
        <v>63.923261191019016</v>
      </c>
      <c r="J50" s="14">
        <f t="shared" si="6"/>
        <v>179.62436394676345</v>
      </c>
      <c r="K50" s="15">
        <f t="shared" si="7"/>
        <v>52.776500342763036</v>
      </c>
      <c r="L50" s="14">
        <f t="shared" si="8"/>
        <v>148.30196596316412</v>
      </c>
    </row>
    <row r="51" spans="1:12">
      <c r="A51" s="32">
        <f t="shared" si="9"/>
        <v>10</v>
      </c>
      <c r="B51" s="13">
        <f>($O$9*SQRT(A51+$F$7-$F$9)*Calibration!$B$49)-((0.32989795*(A51+$F$7-$F$9))-1.302)</f>
        <v>19.632623870969731</v>
      </c>
      <c r="C51" s="13">
        <f>A51*Calibration!$B$50*$O$9*($B$18/12500)*('Degradation Model'!$B$26/$B$8)</f>
        <v>12.058038648899101</v>
      </c>
      <c r="D51" s="13">
        <f t="shared" si="10"/>
        <v>15.638798529543145</v>
      </c>
      <c r="E51" s="13">
        <f t="shared" si="2"/>
        <v>3.7374624785005772</v>
      </c>
      <c r="F51" s="13">
        <f t="shared" si="3"/>
        <v>35.271422400512876</v>
      </c>
      <c r="G51" s="13">
        <f t="shared" si="4"/>
        <v>39.008884879013451</v>
      </c>
      <c r="H51" s="13">
        <f t="shared" si="11"/>
        <v>2.9321460700324664</v>
      </c>
      <c r="I51" s="13">
        <f t="shared" si="5"/>
        <v>60.991115120986549</v>
      </c>
      <c r="J51" s="33">
        <f t="shared" si="6"/>
        <v>171.38503348997219</v>
      </c>
      <c r="K51" s="15">
        <f t="shared" si="7"/>
        <v>50.355653765369681</v>
      </c>
      <c r="L51" s="14">
        <f t="shared" si="8"/>
        <v>141.49938708068879</v>
      </c>
    </row>
    <row r="52" spans="1:12">
      <c r="A52" s="28">
        <f t="shared" si="9"/>
        <v>11</v>
      </c>
      <c r="B52" s="13">
        <f>($O$9*SQRT(A52+$F$7-$F$9)*Calibration!$B$49)-((0.32989795*(A52+$F$7-$F$9))-1.302)</f>
        <v>20.344826656295115</v>
      </c>
      <c r="C52" s="13">
        <f>A52*Calibration!$B$50*$O$9*($B$18/12500)*('Degradation Model'!$B$26/$B$8)</f>
        <v>13.263842513789012</v>
      </c>
      <c r="D52" s="13">
        <f t="shared" si="10"/>
        <v>17.615814136649174</v>
      </c>
      <c r="E52" s="13">
        <f t="shared" si="2"/>
        <v>4.0224198789727481</v>
      </c>
      <c r="F52" s="13">
        <f t="shared" si="3"/>
        <v>37.96064079294429</v>
      </c>
      <c r="G52" s="13">
        <f t="shared" si="4"/>
        <v>41.983060671917038</v>
      </c>
      <c r="H52" s="13">
        <f t="shared" si="11"/>
        <v>2.974175792903587</v>
      </c>
      <c r="I52" s="13">
        <f t="shared" si="5"/>
        <v>58.016939328082962</v>
      </c>
      <c r="J52" s="14">
        <f t="shared" si="6"/>
        <v>163.02759951191311</v>
      </c>
      <c r="K52" s="15">
        <f t="shared" si="7"/>
        <v>47.900106491513334</v>
      </c>
      <c r="L52" s="14">
        <f t="shared" si="8"/>
        <v>134.59929924115247</v>
      </c>
    </row>
    <row r="53" spans="1:12">
      <c r="A53" s="28">
        <f t="shared" si="9"/>
        <v>12</v>
      </c>
      <c r="B53" s="13">
        <f>($O$9*SQRT(A53+$F$7-$F$9)*Calibration!$B$49)-((0.32989795*(A53+$F$7-$F$9))-1.302)</f>
        <v>21.011291431704926</v>
      </c>
      <c r="C53" s="13">
        <f>A53*Calibration!$B$50*$O$9*($B$18/12500)*('Degradation Model'!$B$26/$B$8)</f>
        <v>14.469646378678922</v>
      </c>
      <c r="D53" s="13">
        <f t="shared" si="10"/>
        <v>19.69417931560346</v>
      </c>
      <c r="E53" s="13">
        <f t="shared" si="2"/>
        <v>4.3132700422525563</v>
      </c>
      <c r="F53" s="13">
        <f t="shared" si="3"/>
        <v>40.705470747308382</v>
      </c>
      <c r="G53" s="13">
        <f t="shared" si="4"/>
        <v>45.018740789560937</v>
      </c>
      <c r="H53" s="13">
        <f t="shared" si="11"/>
        <v>3.0356801176438992</v>
      </c>
      <c r="I53" s="13">
        <f t="shared" si="5"/>
        <v>54.981259210439063</v>
      </c>
      <c r="J53" s="14">
        <f t="shared" si="6"/>
        <v>154.49733838133378</v>
      </c>
      <c r="K53" s="15">
        <f t="shared" si="7"/>
        <v>45.393779846341147</v>
      </c>
      <c r="L53" s="14">
        <f t="shared" si="8"/>
        <v>127.55652136821863</v>
      </c>
    </row>
    <row r="54" spans="1:12">
      <c r="A54" s="28">
        <f t="shared" si="9"/>
        <v>13</v>
      </c>
      <c r="B54" s="13">
        <f>($O$9*SQRT(A54+$F$7-$F$9)*Calibration!$B$49)-((0.32989795*(A54+$F$7-$F$9))-1.302)</f>
        <v>21.637559073696263</v>
      </c>
      <c r="C54" s="13">
        <f>A54*Calibration!$B$50*$O$9*($B$18/12500)*('Degradation Model'!$B$26/$B$8)</f>
        <v>15.675450243568831</v>
      </c>
      <c r="D54" s="13">
        <f t="shared" si="10"/>
        <v>21.887297265621179</v>
      </c>
      <c r="E54" s="13">
        <f t="shared" si="2"/>
        <v>4.6120203376873601</v>
      </c>
      <c r="F54" s="13">
        <f t="shared" si="3"/>
        <v>43.524856339317438</v>
      </c>
      <c r="G54" s="13">
        <f t="shared" si="4"/>
        <v>48.1368766770048</v>
      </c>
      <c r="H54" s="13">
        <f t="shared" si="11"/>
        <v>3.1181358874438629</v>
      </c>
      <c r="I54" s="13">
        <f t="shared" si="5"/>
        <v>51.8631233229952</v>
      </c>
      <c r="J54" s="14">
        <f t="shared" si="6"/>
        <v>145.73537653761653</v>
      </c>
      <c r="K54" s="15">
        <f t="shared" si="7"/>
        <v>42.819375839625927</v>
      </c>
      <c r="L54" s="14">
        <f t="shared" si="8"/>
        <v>120.32244610934886</v>
      </c>
    </row>
    <row r="55" spans="1:12">
      <c r="A55" s="28">
        <f t="shared" si="9"/>
        <v>14</v>
      </c>
      <c r="B55" s="13">
        <f>($O$9*SQRT(A55+$F$7-$F$9)*Calibration!$B$49)-((0.32989795*(A55+$F$7-$F$9))-1.302)</f>
        <v>22.228134599200182</v>
      </c>
      <c r="C55" s="13">
        <f>A55*Calibration!$B$50*$O$9*($B$18/12500)*('Degradation Model'!$B$26/$B$8)</f>
        <v>16.881254108458741</v>
      </c>
      <c r="D55" s="13">
        <f t="shared" si="10"/>
        <v>24.212270748957994</v>
      </c>
      <c r="E55" s="13">
        <f t="shared" si="2"/>
        <v>4.9209603883900881</v>
      </c>
      <c r="F55" s="13">
        <f t="shared" si="3"/>
        <v>46.44040534815818</v>
      </c>
      <c r="G55" s="13">
        <f t="shared" si="4"/>
        <v>51.361365736548265</v>
      </c>
      <c r="H55" s="13">
        <f t="shared" si="11"/>
        <v>3.2244890595434654</v>
      </c>
      <c r="I55" s="13">
        <f t="shared" si="5"/>
        <v>48.638634263451735</v>
      </c>
      <c r="J55" s="14">
        <f t="shared" si="6"/>
        <v>136.67456228029937</v>
      </c>
      <c r="K55" s="15">
        <f t="shared" si="7"/>
        <v>40.157164231746634</v>
      </c>
      <c r="L55" s="14">
        <f t="shared" si="8"/>
        <v>112.84163149120803</v>
      </c>
    </row>
    <row r="56" spans="1:12">
      <c r="A56" s="28">
        <f t="shared" si="9"/>
        <v>15</v>
      </c>
      <c r="B56" s="13">
        <f>($O$9*SQRT(A56+$F$7-$F$9)*Calibration!$B$49)-((0.32989795*(A56+$F$7-$F$9))-1.302)</f>
        <v>22.786739568208727</v>
      </c>
      <c r="C56" s="13">
        <f>A56*Calibration!$B$50*$O$9*($B$18/12500)*('Degradation Model'!$B$26/$B$8)</f>
        <v>18.087057973348649</v>
      </c>
      <c r="D56" s="13">
        <f t="shared" si="10"/>
        <v>26.69137790965387</v>
      </c>
      <c r="E56" s="13">
        <f t="shared" si="2"/>
        <v>5.2428451986009534</v>
      </c>
      <c r="F56" s="13">
        <f t="shared" si="3"/>
        <v>49.478117477862597</v>
      </c>
      <c r="G56" s="13">
        <f t="shared" si="4"/>
        <v>54.72096267646355</v>
      </c>
      <c r="H56" s="13">
        <f t="shared" si="11"/>
        <v>3.359596939915285</v>
      </c>
      <c r="I56" s="13">
        <f t="shared" si="5"/>
        <v>45.27903732353645</v>
      </c>
      <c r="J56" s="14">
        <f t="shared" si="6"/>
        <v>127.23409487913743</v>
      </c>
      <c r="K56" s="15">
        <f t="shared" si="7"/>
        <v>37.383404480642191</v>
      </c>
      <c r="L56" s="14">
        <f t="shared" si="8"/>
        <v>105.04736659060455</v>
      </c>
    </row>
  </sheetData>
  <conditionalFormatting sqref="M7">
    <cfRule type="cellIs" dxfId="12" priority="9" stopIfTrue="1" operator="lessThan">
      <formula>$F$13</formula>
    </cfRule>
  </conditionalFormatting>
  <conditionalFormatting sqref="I42:I56">
    <cfRule type="cellIs" dxfId="11" priority="8" stopIfTrue="1" operator="lessThanOrEqual">
      <formula>$E$22</formula>
    </cfRule>
  </conditionalFormatting>
  <conditionalFormatting sqref="I42:I56">
    <cfRule type="cellIs" dxfId="10" priority="6" stopIfTrue="1" operator="lessThanOrEqual">
      <formula>0</formula>
    </cfRule>
  </conditionalFormatting>
  <conditionalFormatting sqref="B10">
    <cfRule type="cellIs" dxfId="9" priority="10" stopIfTrue="1" operator="equal">
      <formula>0</formula>
    </cfRule>
  </conditionalFormatting>
  <conditionalFormatting sqref="I42:I56">
    <cfRule type="cellIs" dxfId="8" priority="7" stopIfTrue="1" operator="greaterThan">
      <formula>100</formula>
    </cfRule>
  </conditionalFormatting>
  <dataValidations count="4">
    <dataValidation allowBlank="1" showErrorMessage="1" sqref="B18"/>
    <dataValidation type="decimal" allowBlank="1" showErrorMessage="1" error="Acceptable values are between 20 and 95" sqref="E18:E26">
      <formula1>20</formula1>
      <formula2>95</formula2>
    </dataValidation>
    <dataValidation allowBlank="1" error="Acceptable values are between 0 and 40" sqref="F7"/>
    <dataValidation type="list" allowBlank="1" showInputMessage="1" showErrorMessage="1" sqref="B6">
      <formula1>'Aging Factor'!$A$145:$A$244</formula1>
    </dataValidation>
  </dataValidations>
  <pageMargins left="0" right="0" top="0.39410000000000006" bottom="0.39410000000000006" header="0" footer="0"/>
  <headerFooter>
    <oddHeader>&amp;C&amp;A</oddHeader>
    <oddFooter>&amp;CPage 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>
          <x14:formula1>
            <xm:f>'Aging Factor'!$A$145:$A$242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I643"/>
  <sheetViews>
    <sheetView workbookViewId="0"/>
  </sheetViews>
  <sheetFormatPr defaultRowHeight="14.25"/>
  <cols>
    <col min="1" max="1" width="20.625" customWidth="1"/>
    <col min="2" max="2" width="19.25" customWidth="1"/>
    <col min="3" max="3" width="18.625" customWidth="1"/>
    <col min="4" max="4" width="17" customWidth="1"/>
    <col min="5" max="5" width="17.375" customWidth="1"/>
    <col min="6" max="6" width="12.625" customWidth="1"/>
    <col min="7" max="7" width="14" customWidth="1"/>
    <col min="8" max="8" width="14.125" customWidth="1"/>
    <col min="9" max="9" width="13.125" customWidth="1"/>
    <col min="10" max="10" width="12.25" customWidth="1"/>
    <col min="11" max="11" width="13.5" customWidth="1"/>
    <col min="12" max="12" width="12.125" customWidth="1"/>
    <col min="13" max="13" width="14" customWidth="1"/>
    <col min="14" max="14" width="25.375" customWidth="1"/>
    <col min="15" max="15" width="16.75" customWidth="1"/>
    <col min="16" max="16" width="20.125" customWidth="1"/>
    <col min="17" max="17" width="16.625" customWidth="1"/>
    <col min="18" max="18" width="12.5" customWidth="1"/>
    <col min="19" max="19" width="12.875" customWidth="1"/>
    <col min="20" max="20" width="10.75" customWidth="1"/>
    <col min="21" max="21" width="12.25" customWidth="1"/>
    <col min="22" max="22" width="13.25" customWidth="1"/>
    <col min="23" max="23" width="12.375" customWidth="1"/>
    <col min="24" max="25" width="10.75" customWidth="1"/>
    <col min="26" max="27" width="12.25" customWidth="1"/>
    <col min="28" max="30" width="12.625" customWidth="1"/>
    <col min="31" max="31" width="15" customWidth="1"/>
    <col min="32" max="32" width="15.75" customWidth="1"/>
    <col min="33" max="33" width="13.125" customWidth="1"/>
    <col min="34" max="34" width="15.375" customWidth="1"/>
    <col min="35" max="36" width="25.75" customWidth="1"/>
  </cols>
  <sheetData>
    <row r="1" spans="1:35">
      <c r="T1" s="8" t="s">
        <v>2</v>
      </c>
      <c r="AC1" s="8" t="s">
        <v>2</v>
      </c>
      <c r="AE1" s="34" t="s">
        <v>24</v>
      </c>
    </row>
    <row r="2" spans="1:35">
      <c r="A2" s="7"/>
      <c r="B2" s="8"/>
      <c r="C2" s="7"/>
      <c r="D2" s="7"/>
      <c r="E2" s="8"/>
      <c r="F2" s="8"/>
      <c r="G2" s="8"/>
      <c r="H2" s="7" t="s">
        <v>52</v>
      </c>
      <c r="I2" s="7" t="s">
        <v>59</v>
      </c>
      <c r="J2" s="8" t="s">
        <v>60</v>
      </c>
      <c r="K2" s="8" t="s">
        <v>61</v>
      </c>
      <c r="L2" s="8" t="s">
        <v>62</v>
      </c>
      <c r="M2" s="8"/>
      <c r="N2" s="8" t="s">
        <v>3</v>
      </c>
      <c r="O2" s="8"/>
      <c r="P2" s="8"/>
      <c r="Q2" s="8" t="s">
        <v>2</v>
      </c>
      <c r="R2" s="8" t="s">
        <v>3</v>
      </c>
      <c r="S2" s="8" t="s">
        <v>4</v>
      </c>
      <c r="T2" s="8" t="s">
        <v>6</v>
      </c>
      <c r="U2" s="8" t="s">
        <v>7</v>
      </c>
      <c r="V2" s="8" t="s">
        <v>8</v>
      </c>
      <c r="W2" s="8" t="s">
        <v>8</v>
      </c>
      <c r="X2" s="8" t="s">
        <v>33</v>
      </c>
      <c r="Y2" s="8" t="s">
        <v>35</v>
      </c>
      <c r="Z2" s="8" t="s">
        <v>34</v>
      </c>
      <c r="AA2" s="8" t="s">
        <v>36</v>
      </c>
      <c r="AB2" s="8" t="s">
        <v>5</v>
      </c>
      <c r="AC2" s="8" t="s">
        <v>5</v>
      </c>
      <c r="AD2" s="34" t="s">
        <v>50</v>
      </c>
      <c r="AE2" s="34" t="s">
        <v>63</v>
      </c>
      <c r="AF2" s="34" t="s">
        <v>24</v>
      </c>
      <c r="AG2" s="34" t="s">
        <v>64</v>
      </c>
      <c r="AH2" s="34" t="s">
        <v>65</v>
      </c>
    </row>
    <row r="3" spans="1:35">
      <c r="A3" s="7" t="s">
        <v>66</v>
      </c>
      <c r="B3" s="8" t="s">
        <v>67</v>
      </c>
      <c r="C3" s="7" t="s">
        <v>28</v>
      </c>
      <c r="D3" s="7" t="s">
        <v>68</v>
      </c>
      <c r="E3" s="8" t="s">
        <v>16</v>
      </c>
      <c r="F3" s="8" t="s">
        <v>19</v>
      </c>
      <c r="G3" s="8" t="s">
        <v>26</v>
      </c>
      <c r="H3" s="7" t="s">
        <v>69</v>
      </c>
      <c r="I3" s="7" t="s">
        <v>70</v>
      </c>
      <c r="J3" s="8" t="s">
        <v>71</v>
      </c>
      <c r="K3" s="8" t="s">
        <v>42</v>
      </c>
      <c r="L3" s="8" t="s">
        <v>72</v>
      </c>
      <c r="M3" s="8" t="s">
        <v>73</v>
      </c>
      <c r="N3" s="8" t="s">
        <v>74</v>
      </c>
      <c r="O3" s="8" t="s">
        <v>9</v>
      </c>
      <c r="P3" s="8" t="s">
        <v>10</v>
      </c>
      <c r="Q3" s="8" t="s">
        <v>10</v>
      </c>
      <c r="R3" s="8" t="s">
        <v>11</v>
      </c>
      <c r="S3" s="8" t="s">
        <v>10</v>
      </c>
      <c r="T3" s="8" t="s">
        <v>13</v>
      </c>
      <c r="U3" s="8" t="s">
        <v>14</v>
      </c>
      <c r="V3" s="8" t="s">
        <v>15</v>
      </c>
      <c r="W3" s="8" t="s">
        <v>14</v>
      </c>
      <c r="X3" s="8" t="s">
        <v>42</v>
      </c>
      <c r="Y3" s="8" t="s">
        <v>33</v>
      </c>
      <c r="Z3" s="8" t="s">
        <v>6</v>
      </c>
      <c r="AA3" s="8" t="s">
        <v>43</v>
      </c>
      <c r="AB3" s="8" t="s">
        <v>12</v>
      </c>
      <c r="AC3" s="8" t="s">
        <v>12</v>
      </c>
      <c r="AD3" s="34" t="s">
        <v>11</v>
      </c>
      <c r="AE3" s="34" t="s">
        <v>75</v>
      </c>
      <c r="AF3" s="34" t="s">
        <v>76</v>
      </c>
      <c r="AG3" s="34" t="s">
        <v>77</v>
      </c>
      <c r="AH3" s="34" t="s">
        <v>78</v>
      </c>
      <c r="AI3" s="35" t="s">
        <v>79</v>
      </c>
    </row>
    <row r="5" spans="1:35">
      <c r="A5" s="8">
        <v>1</v>
      </c>
      <c r="B5" s="27" t="s">
        <v>80</v>
      </c>
      <c r="C5" s="22">
        <v>41014</v>
      </c>
      <c r="D5" s="22">
        <v>41098</v>
      </c>
      <c r="E5" s="27" t="s">
        <v>81</v>
      </c>
      <c r="F5" s="36">
        <v>4</v>
      </c>
      <c r="G5" s="27">
        <v>10300</v>
      </c>
      <c r="H5" s="36">
        <v>55.46</v>
      </c>
      <c r="I5" s="22">
        <v>41526</v>
      </c>
      <c r="J5" s="36">
        <v>5</v>
      </c>
      <c r="K5" s="13">
        <f t="shared" ref="K5:K26" si="0">(I5-C5)/365</f>
        <v>1.4027397260273973</v>
      </c>
      <c r="L5" s="13">
        <f t="shared" ref="L5:L26" si="1">(I5-D5)/365</f>
        <v>1.1726027397260275</v>
      </c>
      <c r="M5" s="13">
        <f>VLOOKUP(E5,'Aging Factor'!$A$145:$H$242,5,1)</f>
        <v>1.5128338719315855</v>
      </c>
      <c r="N5" s="13">
        <f>VLOOKUP(E5,'Aging Factor'!$A$145:$H$242,8,1)</f>
        <v>1.1588504872049772</v>
      </c>
      <c r="O5" s="13">
        <f t="shared" ref="O5:O26" si="2">(M5*$B$49*SQRT(K5))-((0.32989795*K5)-1.302)</f>
        <v>13.202381643612119</v>
      </c>
      <c r="P5" s="13">
        <f>$B$50*M5*(G5/12500)*('Degradation Model'!$B$26/F5)</f>
        <v>2.9151468838492733</v>
      </c>
      <c r="Q5" s="13">
        <f>IF(L5&lt;1,P5,(VLOOKUP(INT(L5)+1,A$167:L$181,4,1)-VLOOKUP(INT(L5),A$167:L$181,4,1))*(L5-INT(L5))+VLOOKUP(INT(L5),A$167:L$181,4,1))</f>
        <v>3.0009081173148999</v>
      </c>
      <c r="R5" s="13">
        <f t="shared" ref="R5:R26" si="3">((N5-1)*(O5+Q5)*J5/7)</f>
        <v>1.8385003377476254</v>
      </c>
      <c r="S5" s="13">
        <f t="shared" ref="S5:S26" si="4">O5+P5</f>
        <v>16.117528527461392</v>
      </c>
      <c r="T5" s="13">
        <f t="shared" ref="T5:T26" si="5">(1-AC5)*100</f>
        <v>81.958209901325347</v>
      </c>
      <c r="U5" s="14">
        <f t="shared" ref="U5:U26" si="6">281*T5/100</f>
        <v>230.30256982272422</v>
      </c>
      <c r="V5" s="15">
        <f t="shared" ref="V5:V26" si="7">W5/281*100</f>
        <v>67.666564758389598</v>
      </c>
      <c r="W5" s="14">
        <f t="shared" ref="W5:W26" si="8">T5*232/100</f>
        <v>190.1430469710748</v>
      </c>
      <c r="X5" s="13">
        <v>2.9</v>
      </c>
      <c r="Y5" s="26">
        <f t="shared" ref="Y5:Y26" si="9">G5/((I5-D5)/365)*X5</f>
        <v>25473.247663551399</v>
      </c>
      <c r="Z5" s="13">
        <f t="shared" ref="Z5:Z26" si="10">X5-L5</f>
        <v>1.7273972602739724</v>
      </c>
      <c r="AA5" s="29" t="str">
        <f t="shared" ref="AA5:AA26" si="11">IF(AND(X5&lt;=5,Y5&lt;60000),"Yes","No")</f>
        <v>Yes</v>
      </c>
      <c r="AB5" s="23">
        <f t="shared" ref="AB5:AB26" si="12">(S5+R5)/100</f>
        <v>0.17956028865209017</v>
      </c>
      <c r="AC5" s="23">
        <f t="shared" ref="AC5:AC26" si="13">(O5+Q5+R5)/100</f>
        <v>0.18041790098674645</v>
      </c>
      <c r="AD5" s="37">
        <f t="shared" ref="AD5:AD26" si="14">($B$75-H5)/$B$75</f>
        <v>0.16286792452830187</v>
      </c>
      <c r="AE5" s="37">
        <f t="shared" ref="AE5:AE26" si="15">AD5-AC5</f>
        <v>-1.7549976458444583E-2</v>
      </c>
      <c r="AF5" s="37">
        <f t="shared" ref="AF5:AF26" si="16">AD5-AB5</f>
        <v>-1.66923641237883E-2</v>
      </c>
      <c r="AG5" s="37">
        <f t="shared" ref="AG5:AG26" si="17">AE5-AF5</f>
        <v>-8.576123346562825E-4</v>
      </c>
      <c r="AH5" s="38">
        <f t="shared" ref="AH5:AH26" si="18">AD5/AC5</f>
        <v>0.9027259691945213</v>
      </c>
    </row>
    <row r="6" spans="1:35">
      <c r="A6" s="8">
        <f t="shared" ref="A6:A46" si="19">1+A5</f>
        <v>2</v>
      </c>
      <c r="B6" s="27" t="s">
        <v>82</v>
      </c>
      <c r="C6" s="22">
        <v>40558</v>
      </c>
      <c r="D6" s="22">
        <v>40603</v>
      </c>
      <c r="E6" s="27" t="s">
        <v>17</v>
      </c>
      <c r="F6" s="36">
        <v>4.4000000000000004</v>
      </c>
      <c r="G6" s="27">
        <v>37512</v>
      </c>
      <c r="H6" s="36">
        <v>52.47</v>
      </c>
      <c r="I6" s="22">
        <v>41527</v>
      </c>
      <c r="J6" s="36">
        <v>5</v>
      </c>
      <c r="K6" s="13">
        <f t="shared" si="0"/>
        <v>2.6547945205479451</v>
      </c>
      <c r="L6" s="13">
        <f t="shared" si="1"/>
        <v>2.5315068493150683</v>
      </c>
      <c r="M6" s="13">
        <f>VLOOKUP(E6,'Aging Factor'!$A$145:$H$242,5,1)</f>
        <v>0.98588743092128528</v>
      </c>
      <c r="N6" s="13">
        <f>VLOOKUP(E6,'Aging Factor'!$A$145:$H$242,8,1)</f>
        <v>1.1854350885855089</v>
      </c>
      <c r="O6" s="13">
        <f t="shared" si="2"/>
        <v>11.510070302935155</v>
      </c>
      <c r="P6" s="13">
        <f>$B$50*M6*(G6/12500)*('Degradation Model'!$B$26/F6)</f>
        <v>6.2898000873705628</v>
      </c>
      <c r="Q6" s="13">
        <f>IF(L6&lt;1,P6,(VLOOKUP(INT(L6)+1,A$189:L$203,4,1)-VLOOKUP(INT(L6),A$189:L$203,4,1))*(L6-INT(L6))+VLOOKUP(INT(L6),A$189:L$203,4,1))</f>
        <v>6.9179704440808711</v>
      </c>
      <c r="R6" s="13">
        <f t="shared" si="3"/>
        <v>2.44086097741449</v>
      </c>
      <c r="S6" s="13">
        <f t="shared" si="4"/>
        <v>17.799870390305717</v>
      </c>
      <c r="T6" s="13">
        <f t="shared" si="5"/>
        <v>79.131098275569485</v>
      </c>
      <c r="U6" s="14">
        <f t="shared" si="6"/>
        <v>222.35838615435026</v>
      </c>
      <c r="V6" s="15">
        <f t="shared" si="7"/>
        <v>65.332437010434603</v>
      </c>
      <c r="W6" s="14">
        <f t="shared" si="8"/>
        <v>183.5841479993212</v>
      </c>
      <c r="X6" s="13">
        <v>4.2</v>
      </c>
      <c r="Y6" s="26">
        <f t="shared" si="9"/>
        <v>62235.818181818191</v>
      </c>
      <c r="Z6" s="13">
        <f t="shared" si="10"/>
        <v>1.6684931506849319</v>
      </c>
      <c r="AA6" s="29" t="str">
        <f t="shared" si="11"/>
        <v>No</v>
      </c>
      <c r="AB6" s="23">
        <f t="shared" si="12"/>
        <v>0.20240731367720208</v>
      </c>
      <c r="AC6" s="23">
        <f t="shared" si="13"/>
        <v>0.20868901724430519</v>
      </c>
      <c r="AD6" s="37">
        <f t="shared" si="14"/>
        <v>0.20800000000000002</v>
      </c>
      <c r="AE6" s="37">
        <f t="shared" si="15"/>
        <v>-6.8901724430517342E-4</v>
      </c>
      <c r="AF6" s="37">
        <f t="shared" si="16"/>
        <v>5.5926863227979406E-3</v>
      </c>
      <c r="AG6" s="37">
        <f t="shared" si="17"/>
        <v>-6.2817035671031141E-3</v>
      </c>
      <c r="AH6" s="38">
        <f t="shared" si="18"/>
        <v>0.99669835407055196</v>
      </c>
    </row>
    <row r="7" spans="1:35">
      <c r="A7" s="8">
        <f t="shared" si="19"/>
        <v>3</v>
      </c>
      <c r="B7" s="27" t="s">
        <v>83</v>
      </c>
      <c r="C7" s="22">
        <v>40648</v>
      </c>
      <c r="D7" s="22">
        <v>40701</v>
      </c>
      <c r="E7" s="27" t="s">
        <v>84</v>
      </c>
      <c r="F7" s="36">
        <v>4.5</v>
      </c>
      <c r="G7" s="27">
        <v>21926</v>
      </c>
      <c r="H7" s="36">
        <v>55.53</v>
      </c>
      <c r="I7" s="22">
        <v>41527</v>
      </c>
      <c r="J7" s="36">
        <v>5</v>
      </c>
      <c r="K7" s="13">
        <f t="shared" si="0"/>
        <v>2.408219178082192</v>
      </c>
      <c r="L7" s="13">
        <f t="shared" si="1"/>
        <v>2.2630136986301368</v>
      </c>
      <c r="M7" s="13">
        <f>VLOOKUP(E7,'Aging Factor'!$A$145:$H$242,5,1)</f>
        <v>0.88201889682399837</v>
      </c>
      <c r="N7" s="13">
        <f>VLOOKUP(E7,'Aging Factor'!$A$145:$H$242,8,1)</f>
        <v>1.1854350885855089</v>
      </c>
      <c r="O7" s="13">
        <f t="shared" si="2"/>
        <v>9.9519467670090496</v>
      </c>
      <c r="P7" s="13">
        <f>$B$50*M7*(G7/12500)*('Degradation Model'!$B$26/F7)</f>
        <v>3.2160052934662424</v>
      </c>
      <c r="Q7" s="13">
        <f>IF(L7&lt;1,P7,(VLOOKUP(INT(L7)+1,A$211:L$225,4,1)-VLOOKUP(INT(L7),A$211:L$225,4,1))*(L7-INT(L7))+VLOOKUP(INT(L7),A$211:L$225,4,1))</f>
        <v>3.4361437610833128</v>
      </c>
      <c r="R7" s="13">
        <f t="shared" si="3"/>
        <v>1.7733012521911575</v>
      </c>
      <c r="S7" s="13">
        <f t="shared" si="4"/>
        <v>13.167952060475292</v>
      </c>
      <c r="T7" s="13">
        <f t="shared" si="5"/>
        <v>84.838608219716477</v>
      </c>
      <c r="U7" s="14">
        <f t="shared" si="6"/>
        <v>238.39648909740328</v>
      </c>
      <c r="V7" s="15">
        <f t="shared" si="7"/>
        <v>70.044687213431388</v>
      </c>
      <c r="W7" s="14">
        <f t="shared" si="8"/>
        <v>196.82557106974221</v>
      </c>
      <c r="X7" s="13">
        <v>6.7</v>
      </c>
      <c r="Y7" s="26">
        <f t="shared" si="9"/>
        <v>64915.29418886199</v>
      </c>
      <c r="Z7" s="13">
        <f t="shared" si="10"/>
        <v>4.4369863013698634</v>
      </c>
      <c r="AA7" s="29" t="str">
        <f t="shared" si="11"/>
        <v>No</v>
      </c>
      <c r="AB7" s="23">
        <f t="shared" si="12"/>
        <v>0.1494125331266645</v>
      </c>
      <c r="AC7" s="23">
        <f t="shared" si="13"/>
        <v>0.1516139178028352</v>
      </c>
      <c r="AD7" s="37">
        <f t="shared" si="14"/>
        <v>0.16181132075471696</v>
      </c>
      <c r="AE7" s="37">
        <f t="shared" si="15"/>
        <v>1.0197402951881762E-2</v>
      </c>
      <c r="AF7" s="37">
        <f t="shared" si="16"/>
        <v>1.2398787628052466E-2</v>
      </c>
      <c r="AG7" s="37">
        <f t="shared" si="17"/>
        <v>-2.2013846761707034E-3</v>
      </c>
      <c r="AH7" s="38">
        <f t="shared" si="18"/>
        <v>1.0672590161883613</v>
      </c>
    </row>
    <row r="8" spans="1:35">
      <c r="A8" s="8">
        <f t="shared" si="19"/>
        <v>4</v>
      </c>
      <c r="B8" s="27" t="s">
        <v>85</v>
      </c>
      <c r="C8" s="22">
        <v>40497</v>
      </c>
      <c r="D8" s="22">
        <v>40561</v>
      </c>
      <c r="E8" s="27" t="s">
        <v>86</v>
      </c>
      <c r="F8" s="36">
        <v>4.5999999999999996</v>
      </c>
      <c r="G8" s="27">
        <v>39849</v>
      </c>
      <c r="H8" s="36">
        <v>57.75</v>
      </c>
      <c r="I8" s="22">
        <v>41527</v>
      </c>
      <c r="J8" s="36">
        <v>5</v>
      </c>
      <c r="K8" s="13">
        <f t="shared" si="0"/>
        <v>2.8219178082191783</v>
      </c>
      <c r="L8" s="13">
        <f t="shared" si="1"/>
        <v>2.6465753424657534</v>
      </c>
      <c r="M8" s="13">
        <f>VLOOKUP(E8,'Aging Factor'!$A$145:$H$242,5,1)</f>
        <v>0.68116640645945803</v>
      </c>
      <c r="N8" s="13">
        <f>VLOOKUP(E8,'Aging Factor'!$A$145:$H$242,8,1)</f>
        <v>1.1074564754411067</v>
      </c>
      <c r="O8" s="13">
        <f t="shared" si="2"/>
        <v>8.2664615534937216</v>
      </c>
      <c r="P8" s="13">
        <f>$B$50*M8*(G8/12500)*('Degradation Model'!$B$26/F8)</f>
        <v>4.415753138158494</v>
      </c>
      <c r="Q8" s="13">
        <f>IF(L8&lt;1,P8,(VLOOKUP(INT(L8)+1,A$233:L$247,4,1)-VLOOKUP(INT(L8),A$233:L$247,4,1))*(L8-INT(L8))+VLOOKUP(INT(L8),A$233:L$247,4,1))</f>
        <v>4.7111280695788098</v>
      </c>
      <c r="R8" s="13">
        <f t="shared" si="3"/>
        <v>0.99609002901175347</v>
      </c>
      <c r="S8" s="13">
        <f t="shared" si="4"/>
        <v>12.682214691652216</v>
      </c>
      <c r="T8" s="13">
        <f t="shared" si="5"/>
        <v>86.026320347915714</v>
      </c>
      <c r="U8" s="14">
        <f t="shared" si="6"/>
        <v>241.73396017764316</v>
      </c>
      <c r="V8" s="15">
        <f t="shared" si="7"/>
        <v>71.02528939756742</v>
      </c>
      <c r="W8" s="14">
        <f t="shared" si="8"/>
        <v>199.58106320716445</v>
      </c>
      <c r="X8" s="13">
        <v>7.9</v>
      </c>
      <c r="Y8" s="26">
        <f t="shared" si="9"/>
        <v>118948.85248447205</v>
      </c>
      <c r="Z8" s="13">
        <f t="shared" si="10"/>
        <v>5.2534246575342465</v>
      </c>
      <c r="AA8" s="29" t="str">
        <f t="shared" si="11"/>
        <v>No</v>
      </c>
      <c r="AB8" s="23">
        <f t="shared" si="12"/>
        <v>0.1367830472066397</v>
      </c>
      <c r="AC8" s="23">
        <f t="shared" si="13"/>
        <v>0.13973679652084287</v>
      </c>
      <c r="AD8" s="37">
        <f t="shared" si="14"/>
        <v>0.12830188679245283</v>
      </c>
      <c r="AE8" s="37">
        <f t="shared" si="15"/>
        <v>-1.1434909728390036E-2</v>
      </c>
      <c r="AF8" s="37">
        <f t="shared" si="16"/>
        <v>-8.4811604141868668E-3</v>
      </c>
      <c r="AG8" s="37">
        <f t="shared" si="17"/>
        <v>-2.953749314203169E-3</v>
      </c>
      <c r="AH8" s="38">
        <f t="shared" si="18"/>
        <v>0.91816822760292471</v>
      </c>
    </row>
    <row r="9" spans="1:35">
      <c r="A9" s="8">
        <f t="shared" si="19"/>
        <v>5</v>
      </c>
      <c r="B9" s="27" t="s">
        <v>87</v>
      </c>
      <c r="C9" s="22">
        <v>40589</v>
      </c>
      <c r="D9" s="22">
        <v>40632</v>
      </c>
      <c r="E9" s="27" t="s">
        <v>88</v>
      </c>
      <c r="F9" s="36">
        <v>4.0999999999999996</v>
      </c>
      <c r="G9" s="27">
        <v>46600</v>
      </c>
      <c r="H9" s="36">
        <v>45.65</v>
      </c>
      <c r="I9" s="22">
        <v>41526</v>
      </c>
      <c r="J9" s="36">
        <v>5.75</v>
      </c>
      <c r="K9" s="13">
        <f t="shared" si="0"/>
        <v>2.5671232876712327</v>
      </c>
      <c r="L9" s="13">
        <f t="shared" si="1"/>
        <v>2.4493150684931506</v>
      </c>
      <c r="M9" s="13">
        <f>VLOOKUP(E9,'Aging Factor'!$A$145:$H$242,5,1)</f>
        <v>1.1886265168599359</v>
      </c>
      <c r="N9" s="13">
        <f>VLOOKUP(E9,'Aging Factor'!$A$145:$H$242,8,1)</f>
        <v>1.1720674169847023</v>
      </c>
      <c r="O9" s="13">
        <f t="shared" si="2"/>
        <v>13.595792168541388</v>
      </c>
      <c r="P9" s="13">
        <f>$B$50*M9*(G9/12500)*('Degradation Model'!$B$26/F9)</f>
        <v>10.109727361890354</v>
      </c>
      <c r="Q9" s="13">
        <f>IF(L9&lt;1,P9,(VLOOKUP(INT(L9)+1,A$255:L$269,4,1)-VLOOKUP(INT(L9),A$255:L$269,4,1))*(L9-INT(L9))+VLOOKUP(INT(L9),A$255:L$269,4,1))</f>
        <v>11.482223859622286</v>
      </c>
      <c r="R9" s="13">
        <f t="shared" si="3"/>
        <v>3.5445541837336783</v>
      </c>
      <c r="S9" s="13">
        <f t="shared" si="4"/>
        <v>23.705519530431744</v>
      </c>
      <c r="T9" s="13">
        <f t="shared" si="5"/>
        <v>71.377429788102646</v>
      </c>
      <c r="U9" s="14">
        <f t="shared" si="6"/>
        <v>200.57057770456842</v>
      </c>
      <c r="V9" s="15">
        <f t="shared" si="7"/>
        <v>58.930831711173717</v>
      </c>
      <c r="W9" s="14">
        <f t="shared" si="8"/>
        <v>165.59563710839814</v>
      </c>
      <c r="X9" s="13">
        <v>2.5</v>
      </c>
      <c r="Y9" s="26">
        <f t="shared" si="9"/>
        <v>47564.317673378071</v>
      </c>
      <c r="Z9" s="13">
        <f t="shared" si="10"/>
        <v>5.0684931506849384E-2</v>
      </c>
      <c r="AA9" s="29" t="str">
        <f t="shared" si="11"/>
        <v>Yes</v>
      </c>
      <c r="AB9" s="23">
        <f t="shared" si="12"/>
        <v>0.27250073714165418</v>
      </c>
      <c r="AC9" s="23">
        <f t="shared" si="13"/>
        <v>0.28622570211897352</v>
      </c>
      <c r="AD9" s="37">
        <f t="shared" si="14"/>
        <v>0.31094339622641509</v>
      </c>
      <c r="AE9" s="37">
        <f t="shared" si="15"/>
        <v>2.4717694107441568E-2</v>
      </c>
      <c r="AF9" s="37">
        <f t="shared" si="16"/>
        <v>3.8442659084760911E-2</v>
      </c>
      <c r="AG9" s="37">
        <f t="shared" si="17"/>
        <v>-1.3724964977319343E-2</v>
      </c>
      <c r="AH9" s="38">
        <f t="shared" si="18"/>
        <v>1.0863573533908821</v>
      </c>
    </row>
    <row r="10" spans="1:35">
      <c r="A10" s="8">
        <f t="shared" si="19"/>
        <v>6</v>
      </c>
      <c r="B10" s="27" t="s">
        <v>89</v>
      </c>
      <c r="C10" s="22">
        <v>40678</v>
      </c>
      <c r="D10" s="22">
        <v>40739</v>
      </c>
      <c r="E10" s="27" t="s">
        <v>90</v>
      </c>
      <c r="F10" s="36">
        <v>4</v>
      </c>
      <c r="G10" s="27">
        <v>35000</v>
      </c>
      <c r="H10" s="36">
        <v>55.69</v>
      </c>
      <c r="I10" s="22">
        <v>41528</v>
      </c>
      <c r="J10" s="36">
        <v>1</v>
      </c>
      <c r="K10" s="13">
        <f t="shared" si="0"/>
        <v>2.3287671232876712</v>
      </c>
      <c r="L10" s="13">
        <f t="shared" si="1"/>
        <v>2.1616438356164385</v>
      </c>
      <c r="M10" s="13">
        <f>VLOOKUP(E10,'Aging Factor'!$A$145:$H$242,5,1)</f>
        <v>0.87169677450810823</v>
      </c>
      <c r="N10" s="13">
        <f>VLOOKUP(E10,'Aging Factor'!$A$145:$H$242,8,1)</f>
        <v>1</v>
      </c>
      <c r="O10" s="13">
        <f t="shared" si="2"/>
        <v>9.7123680963334635</v>
      </c>
      <c r="P10" s="13">
        <f>$B$50*M10*(G10/12500)*('Degradation Model'!$B$26/F10)</f>
        <v>5.7077568135791186</v>
      </c>
      <c r="Q10" s="13">
        <f>IF(L10&lt;1,P10,(VLOOKUP(INT(L10)+1,A$277:L$291,4,1)-VLOOKUP(INT(L10),A$277:L$291,4,1))*(L10-INT(L10))+VLOOKUP(INT(L10),A$277:L$291,4,1))</f>
        <v>6.0783715362357205</v>
      </c>
      <c r="R10" s="13">
        <f t="shared" si="3"/>
        <v>0</v>
      </c>
      <c r="S10" s="13">
        <f t="shared" si="4"/>
        <v>15.420124909912582</v>
      </c>
      <c r="T10" s="13">
        <f t="shared" si="5"/>
        <v>84.209260367430815</v>
      </c>
      <c r="U10" s="14">
        <f t="shared" si="6"/>
        <v>236.6280216324806</v>
      </c>
      <c r="V10" s="15">
        <f t="shared" si="7"/>
        <v>69.525083292683092</v>
      </c>
      <c r="W10" s="14">
        <f t="shared" si="8"/>
        <v>195.36548405243948</v>
      </c>
      <c r="X10" s="13">
        <v>5.2</v>
      </c>
      <c r="Y10" s="26">
        <f t="shared" si="9"/>
        <v>84195.183776932827</v>
      </c>
      <c r="Z10" s="13">
        <f t="shared" si="10"/>
        <v>3.0383561643835617</v>
      </c>
      <c r="AA10" s="29" t="str">
        <f t="shared" si="11"/>
        <v>No</v>
      </c>
      <c r="AB10" s="23">
        <f t="shared" si="12"/>
        <v>0.15420124909912583</v>
      </c>
      <c r="AC10" s="23">
        <f t="shared" si="13"/>
        <v>0.15790739632569184</v>
      </c>
      <c r="AD10" s="37">
        <f t="shared" si="14"/>
        <v>0.15939622641509438</v>
      </c>
      <c r="AE10" s="37">
        <f t="shared" si="15"/>
        <v>1.4888300894025375E-3</v>
      </c>
      <c r="AF10" s="37">
        <f t="shared" si="16"/>
        <v>5.1949773159685464E-3</v>
      </c>
      <c r="AG10" s="37">
        <f t="shared" si="17"/>
        <v>-3.7061472265660089E-3</v>
      </c>
      <c r="AH10" s="38">
        <f t="shared" si="18"/>
        <v>1.0094285012864865</v>
      </c>
    </row>
    <row r="11" spans="1:35">
      <c r="A11" s="8">
        <f t="shared" si="19"/>
        <v>7</v>
      </c>
      <c r="B11" s="27" t="s">
        <v>91</v>
      </c>
      <c r="C11" s="22">
        <v>40589</v>
      </c>
      <c r="D11" s="22">
        <v>40672</v>
      </c>
      <c r="E11" s="27" t="s">
        <v>92</v>
      </c>
      <c r="F11" s="36">
        <v>4</v>
      </c>
      <c r="G11" s="27">
        <v>32034</v>
      </c>
      <c r="H11" s="36">
        <v>57.36</v>
      </c>
      <c r="I11" s="22">
        <v>41528</v>
      </c>
      <c r="J11" s="36">
        <v>0</v>
      </c>
      <c r="K11" s="13">
        <f t="shared" si="0"/>
        <v>2.5726027397260274</v>
      </c>
      <c r="L11" s="13">
        <f t="shared" si="1"/>
        <v>2.3452054794520549</v>
      </c>
      <c r="M11" s="13">
        <f>VLOOKUP(E11,'Aging Factor'!$A$145:$H$242,5,1)</f>
        <v>0.71790831336610927</v>
      </c>
      <c r="N11" s="13">
        <f>VLOOKUP(E11,'Aging Factor'!$A$145:$H$242,8,1)</f>
        <v>1.1074564754411067</v>
      </c>
      <c r="O11" s="13">
        <f t="shared" si="2"/>
        <v>8.3984963707112197</v>
      </c>
      <c r="P11" s="13">
        <f>$B$50*M11*(G11/12500)*('Degradation Model'!$B$26/F11)</f>
        <v>4.3024133408858223</v>
      </c>
      <c r="Q11" s="13">
        <f>IF(L11&lt;1,P11,(VLOOKUP(INT(L11)+1,A$299:L$313,4,1)-VLOOKUP(INT(L11),A$299:L$313,4,1))*(L11-INT(L11))+VLOOKUP(INT(L11),A$299:L$313,4,1))</f>
        <v>4.5513856325888913</v>
      </c>
      <c r="R11" s="13">
        <f t="shared" si="3"/>
        <v>0</v>
      </c>
      <c r="S11" s="13">
        <f t="shared" si="4"/>
        <v>12.700909711597042</v>
      </c>
      <c r="T11" s="13">
        <f t="shared" si="5"/>
        <v>87.050117996699882</v>
      </c>
      <c r="U11" s="14">
        <f t="shared" si="6"/>
        <v>244.61083157072665</v>
      </c>
      <c r="V11" s="15">
        <f t="shared" si="7"/>
        <v>71.870560054214849</v>
      </c>
      <c r="W11" s="14">
        <f t="shared" si="8"/>
        <v>201.95627375234372</v>
      </c>
      <c r="X11" s="13">
        <v>7.8</v>
      </c>
      <c r="Y11" s="26">
        <f t="shared" si="9"/>
        <v>106542.988317757</v>
      </c>
      <c r="Z11" s="13">
        <f t="shared" si="10"/>
        <v>5.4547945205479449</v>
      </c>
      <c r="AA11" s="29" t="str">
        <f t="shared" si="11"/>
        <v>No</v>
      </c>
      <c r="AB11" s="23">
        <f t="shared" si="12"/>
        <v>0.12700909711597042</v>
      </c>
      <c r="AC11" s="23">
        <f t="shared" si="13"/>
        <v>0.12949882003300112</v>
      </c>
      <c r="AD11" s="37">
        <f t="shared" si="14"/>
        <v>0.13418867924528302</v>
      </c>
      <c r="AE11" s="37">
        <f t="shared" si="15"/>
        <v>4.6898592122819049E-3</v>
      </c>
      <c r="AF11" s="37">
        <f t="shared" si="16"/>
        <v>7.1795821293126061E-3</v>
      </c>
      <c r="AG11" s="37">
        <f t="shared" si="17"/>
        <v>-2.4897229170307011E-3</v>
      </c>
      <c r="AH11" s="38">
        <f t="shared" si="18"/>
        <v>1.0362154590372852</v>
      </c>
    </row>
    <row r="12" spans="1:35">
      <c r="A12" s="8">
        <f t="shared" si="19"/>
        <v>8</v>
      </c>
      <c r="B12" s="27" t="s">
        <v>93</v>
      </c>
      <c r="C12" s="22">
        <v>40589</v>
      </c>
      <c r="D12" s="22">
        <v>40653</v>
      </c>
      <c r="E12" s="27" t="s">
        <v>84</v>
      </c>
      <c r="F12" s="36">
        <v>4.2</v>
      </c>
      <c r="G12" s="27">
        <v>7117</v>
      </c>
      <c r="H12" s="36">
        <v>57.12</v>
      </c>
      <c r="I12" s="22">
        <v>41527</v>
      </c>
      <c r="J12" s="36">
        <v>0</v>
      </c>
      <c r="K12" s="13">
        <f t="shared" si="0"/>
        <v>2.56986301369863</v>
      </c>
      <c r="L12" s="13">
        <f t="shared" si="1"/>
        <v>2.3945205479452056</v>
      </c>
      <c r="M12" s="13">
        <f>VLOOKUP(E12,'Aging Factor'!$A$145:$H$242,5,1)</f>
        <v>0.88201889682399837</v>
      </c>
      <c r="N12" s="13">
        <f>VLOOKUP(E12,'Aging Factor'!$A$145:$H$242,8,1)</f>
        <v>1.1854350885855089</v>
      </c>
      <c r="O12" s="13">
        <f t="shared" si="2"/>
        <v>10.210436052851321</v>
      </c>
      <c r="P12" s="13">
        <f>$B$50*M12*(G12/12500)*('Degradation Model'!$B$26/F12)</f>
        <v>1.1184524735929577</v>
      </c>
      <c r="Q12" s="13">
        <f>IF(L12&lt;1,P12,(VLOOKUP(INT(L12)+1,A$321:L$335,4,1)-VLOOKUP(INT(L12),A$321:L$335,4,1))*(L12-INT(L12))+VLOOKUP(INT(L12),A$321:L$335,4,1))</f>
        <v>1.1806546030334317</v>
      </c>
      <c r="R12" s="13">
        <f t="shared" si="3"/>
        <v>0</v>
      </c>
      <c r="S12" s="13">
        <f t="shared" si="4"/>
        <v>11.328888526444279</v>
      </c>
      <c r="T12" s="13">
        <f t="shared" si="5"/>
        <v>88.608909344115247</v>
      </c>
      <c r="U12" s="14">
        <f t="shared" si="6"/>
        <v>248.99103525696384</v>
      </c>
      <c r="V12" s="15">
        <f t="shared" si="7"/>
        <v>73.157533693362055</v>
      </c>
      <c r="W12" s="14">
        <f t="shared" si="8"/>
        <v>205.57266967834738</v>
      </c>
      <c r="X12" s="13">
        <v>16.2</v>
      </c>
      <c r="Y12" s="26">
        <f t="shared" si="9"/>
        <v>48149.680778032038</v>
      </c>
      <c r="Z12" s="13">
        <f t="shared" si="10"/>
        <v>13.805479452054794</v>
      </c>
      <c r="AA12" s="29" t="str">
        <f t="shared" si="11"/>
        <v>No</v>
      </c>
      <c r="AB12" s="23">
        <f t="shared" si="12"/>
        <v>0.11328888526444279</v>
      </c>
      <c r="AC12" s="23">
        <f t="shared" si="13"/>
        <v>0.11391090655884753</v>
      </c>
      <c r="AD12" s="37">
        <f t="shared" si="14"/>
        <v>0.13781132075471703</v>
      </c>
      <c r="AE12" s="37">
        <f t="shared" si="15"/>
        <v>2.3900414195869496E-2</v>
      </c>
      <c r="AF12" s="37">
        <f t="shared" si="16"/>
        <v>2.4522435490274233E-2</v>
      </c>
      <c r="AG12" s="37">
        <f t="shared" si="17"/>
        <v>-6.2202129440473708E-4</v>
      </c>
      <c r="AH12" s="38">
        <f t="shared" si="18"/>
        <v>1.2098167323734035</v>
      </c>
    </row>
    <row r="13" spans="1:35">
      <c r="A13" s="8">
        <f t="shared" si="19"/>
        <v>9</v>
      </c>
      <c r="B13" s="27" t="s">
        <v>94</v>
      </c>
      <c r="C13" s="22">
        <v>40617</v>
      </c>
      <c r="D13" s="22">
        <v>40721</v>
      </c>
      <c r="E13" s="27" t="s">
        <v>92</v>
      </c>
      <c r="F13" s="36">
        <v>3.9</v>
      </c>
      <c r="G13" s="27">
        <v>49758</v>
      </c>
      <c r="H13" s="36">
        <v>54.49</v>
      </c>
      <c r="I13" s="22">
        <v>41529</v>
      </c>
      <c r="J13" s="36">
        <v>4.5</v>
      </c>
      <c r="K13" s="13">
        <f t="shared" si="0"/>
        <v>2.4986301369863013</v>
      </c>
      <c r="L13" s="13">
        <f t="shared" si="1"/>
        <v>2.2136986301369861</v>
      </c>
      <c r="M13" s="13">
        <f>VLOOKUP(E13,'Aging Factor'!$A$145:$H$242,5,1)</f>
        <v>0.71790831336610927</v>
      </c>
      <c r="N13" s="13">
        <f>VLOOKUP(E13,'Aging Factor'!$A$145:$H$242,8,1)</f>
        <v>1.1074564754411067</v>
      </c>
      <c r="O13" s="13">
        <f t="shared" si="2"/>
        <v>8.3078386203157724</v>
      </c>
      <c r="P13" s="13">
        <f>$B$50*M13*(G13/12500)*('Degradation Model'!$B$26/F13)</f>
        <v>6.8542392623157378</v>
      </c>
      <c r="Q13" s="13">
        <f>IF(L13&lt;1,P13,(VLOOKUP(INT(L13)+1,A$343:L$357,4,1)-VLOOKUP(INT(L13),A$343:L$357,4,1))*(L13-INT(L13))+VLOOKUP(INT(L13),A$343:L$357,4,1))</f>
        <v>7.3301309128389285</v>
      </c>
      <c r="R13" s="13">
        <f t="shared" si="3"/>
        <v>1.0802578429852798</v>
      </c>
      <c r="S13" s="13">
        <f t="shared" si="4"/>
        <v>15.162077882631511</v>
      </c>
      <c r="T13" s="13">
        <f t="shared" si="5"/>
        <v>83.281772623860022</v>
      </c>
      <c r="U13" s="14">
        <f t="shared" si="6"/>
        <v>234.02178107304667</v>
      </c>
      <c r="V13" s="15">
        <f t="shared" si="7"/>
        <v>68.759328287315043</v>
      </c>
      <c r="W13" s="14">
        <f t="shared" si="8"/>
        <v>193.21371248735525</v>
      </c>
      <c r="X13" s="13">
        <v>4.7</v>
      </c>
      <c r="Y13" s="26">
        <f t="shared" si="9"/>
        <v>105643.37747524754</v>
      </c>
      <c r="Z13" s="13">
        <f t="shared" si="10"/>
        <v>2.4863013698630141</v>
      </c>
      <c r="AA13" s="29" t="str">
        <f t="shared" si="11"/>
        <v>No</v>
      </c>
      <c r="AB13" s="23">
        <f t="shared" si="12"/>
        <v>0.16242335725616791</v>
      </c>
      <c r="AC13" s="23">
        <f t="shared" si="13"/>
        <v>0.16718227376139982</v>
      </c>
      <c r="AD13" s="37">
        <f t="shared" si="14"/>
        <v>0.17750943396226412</v>
      </c>
      <c r="AE13" s="37">
        <f t="shared" si="15"/>
        <v>1.0327160200864299E-2</v>
      </c>
      <c r="AF13" s="37">
        <f t="shared" si="16"/>
        <v>1.5086076706096213E-2</v>
      </c>
      <c r="AG13" s="37">
        <f t="shared" si="17"/>
        <v>-4.7589165052319138E-3</v>
      </c>
      <c r="AH13" s="38">
        <f t="shared" si="18"/>
        <v>1.0617718611460152</v>
      </c>
    </row>
    <row r="14" spans="1:35">
      <c r="A14" s="8">
        <f t="shared" si="19"/>
        <v>10</v>
      </c>
      <c r="B14" s="27" t="s">
        <v>95</v>
      </c>
      <c r="C14" s="22">
        <v>40648</v>
      </c>
      <c r="D14" s="22">
        <v>40706</v>
      </c>
      <c r="E14" s="27" t="s">
        <v>17</v>
      </c>
      <c r="F14" s="36">
        <v>5.6</v>
      </c>
      <c r="G14" s="27">
        <v>20900</v>
      </c>
      <c r="H14" s="36">
        <v>56.78</v>
      </c>
      <c r="I14" s="22">
        <v>41534</v>
      </c>
      <c r="J14" s="36">
        <v>4</v>
      </c>
      <c r="K14" s="13">
        <f t="shared" si="0"/>
        <v>2.4273972602739726</v>
      </c>
      <c r="L14" s="13">
        <f t="shared" si="1"/>
        <v>2.2684931506849315</v>
      </c>
      <c r="M14" s="13">
        <f>VLOOKUP(E14,'Aging Factor'!$A$145:$H$242,5,1)</f>
        <v>0.98588743092128528</v>
      </c>
      <c r="N14" s="13">
        <f>VLOOKUP(E14,'Aging Factor'!$A$145:$H$242,8,1)</f>
        <v>1.1854350885855089</v>
      </c>
      <c r="O14" s="13">
        <f t="shared" si="2"/>
        <v>11.09976629103851</v>
      </c>
      <c r="P14" s="13">
        <f>$B$50*M14*(G14/12500)*('Degradation Model'!$B$26/F14)</f>
        <v>2.7534523049509727</v>
      </c>
      <c r="Q14" s="13">
        <f>IF(L14&lt;1,P14,(VLOOKUP(INT(L14)+1,A$365:L$379,4,1)-VLOOKUP(INT(L14),A$365:L$379,4,1))*(L14-INT(L14))+VLOOKUP(INT(L14),A$365:L$379,4,1))</f>
        <v>2.9507089150440557</v>
      </c>
      <c r="R14" s="13">
        <f t="shared" si="3"/>
        <v>1.4888292082905241</v>
      </c>
      <c r="S14" s="13">
        <f t="shared" si="4"/>
        <v>13.853218595989482</v>
      </c>
      <c r="T14" s="13">
        <f t="shared" si="5"/>
        <v>84.460695585626908</v>
      </c>
      <c r="U14" s="14">
        <f t="shared" si="6"/>
        <v>237.33455459561162</v>
      </c>
      <c r="V14" s="15">
        <f t="shared" si="7"/>
        <v>69.73267393546422</v>
      </c>
      <c r="W14" s="14">
        <f t="shared" si="8"/>
        <v>195.94881375865444</v>
      </c>
      <c r="X14" s="13">
        <v>6.8</v>
      </c>
      <c r="Y14" s="26">
        <f t="shared" si="9"/>
        <v>62649.51690821255</v>
      </c>
      <c r="Z14" s="13">
        <f t="shared" si="10"/>
        <v>4.5315068493150683</v>
      </c>
      <c r="AA14" s="29" t="str">
        <f t="shared" si="11"/>
        <v>No</v>
      </c>
      <c r="AB14" s="23">
        <f t="shared" si="12"/>
        <v>0.15342047804280004</v>
      </c>
      <c r="AC14" s="23">
        <f t="shared" si="13"/>
        <v>0.1553930441437309</v>
      </c>
      <c r="AD14" s="37">
        <f t="shared" si="14"/>
        <v>0.14294339622641508</v>
      </c>
      <c r="AE14" s="37">
        <f t="shared" si="15"/>
        <v>-1.2449647917315815E-2</v>
      </c>
      <c r="AF14" s="37">
        <f t="shared" si="16"/>
        <v>-1.0477081816384959E-2</v>
      </c>
      <c r="AG14" s="37">
        <f t="shared" si="17"/>
        <v>-1.9725661009308559E-3</v>
      </c>
      <c r="AH14" s="38">
        <f t="shared" si="18"/>
        <v>0.91988284941634513</v>
      </c>
    </row>
    <row r="15" spans="1:35">
      <c r="A15" s="8">
        <f t="shared" si="19"/>
        <v>11</v>
      </c>
      <c r="B15" s="27" t="s">
        <v>96</v>
      </c>
      <c r="C15" s="22">
        <v>40678</v>
      </c>
      <c r="D15" s="22">
        <v>40730</v>
      </c>
      <c r="E15" s="27" t="s">
        <v>97</v>
      </c>
      <c r="F15" s="36">
        <v>3.9</v>
      </c>
      <c r="G15" s="27">
        <v>40402</v>
      </c>
      <c r="H15" s="36">
        <v>54.6</v>
      </c>
      <c r="I15" s="22">
        <v>41527</v>
      </c>
      <c r="J15" s="36">
        <v>5</v>
      </c>
      <c r="K15" s="13">
        <f t="shared" si="0"/>
        <v>2.3260273972602739</v>
      </c>
      <c r="L15" s="13">
        <f t="shared" si="1"/>
        <v>2.1835616438356165</v>
      </c>
      <c r="M15" s="13">
        <f>VLOOKUP(E15,'Aging Factor'!$A$145:$H$242,5,1)</f>
        <v>0.76954201729737237</v>
      </c>
      <c r="N15" s="13">
        <f>VLOOKUP(E15,'Aging Factor'!$A$145:$H$242,8,1)</f>
        <v>1.1328620728593721</v>
      </c>
      <c r="O15" s="13">
        <f t="shared" si="2"/>
        <v>8.6328547226242378</v>
      </c>
      <c r="P15" s="13">
        <f>$B$50*M15*(G15/12500)*('Degradation Model'!$B$26/F15)</f>
        <v>5.9657158503484995</v>
      </c>
      <c r="Q15" s="13">
        <f>IF(L15&lt;1,P15,(VLOOKUP(INT(L15)+1,A$387:L$401,4,1)-VLOOKUP(INT(L15),A$387:L$401,4,1))*(L15-INT(L15))+VLOOKUP(INT(L15),A$387:L$401,4,1))</f>
        <v>6.3685513249776111</v>
      </c>
      <c r="R15" s="13">
        <f t="shared" si="3"/>
        <v>1.4236556452067874</v>
      </c>
      <c r="S15" s="13">
        <f t="shared" si="4"/>
        <v>14.598570572972736</v>
      </c>
      <c r="T15" s="13">
        <f t="shared" si="5"/>
        <v>83.57493830719136</v>
      </c>
      <c r="U15" s="14">
        <f t="shared" si="6"/>
        <v>234.84557664320772</v>
      </c>
      <c r="V15" s="15">
        <f t="shared" si="7"/>
        <v>69.001372552556575</v>
      </c>
      <c r="W15" s="14">
        <f t="shared" si="8"/>
        <v>193.89385687268398</v>
      </c>
      <c r="X15" s="13">
        <v>4.8</v>
      </c>
      <c r="Y15" s="26">
        <f t="shared" si="9"/>
        <v>88813.430363864492</v>
      </c>
      <c r="Z15" s="13">
        <f t="shared" si="10"/>
        <v>2.6164383561643834</v>
      </c>
      <c r="AA15" s="29" t="str">
        <f t="shared" si="11"/>
        <v>No</v>
      </c>
      <c r="AB15" s="23">
        <f t="shared" si="12"/>
        <v>0.16022226218179522</v>
      </c>
      <c r="AC15" s="23">
        <f t="shared" si="13"/>
        <v>0.16425061692808637</v>
      </c>
      <c r="AD15" s="37">
        <f t="shared" si="14"/>
        <v>0.17584905660377356</v>
      </c>
      <c r="AE15" s="37">
        <f t="shared" si="15"/>
        <v>1.1598439675687189E-2</v>
      </c>
      <c r="AF15" s="37">
        <f t="shared" si="16"/>
        <v>1.5626794421978341E-2</v>
      </c>
      <c r="AG15" s="37">
        <f t="shared" si="17"/>
        <v>-4.0283547462911518E-3</v>
      </c>
      <c r="AH15" s="38">
        <f t="shared" si="18"/>
        <v>1.0706142837854016</v>
      </c>
    </row>
    <row r="16" spans="1:35">
      <c r="A16" s="8">
        <f t="shared" si="19"/>
        <v>12</v>
      </c>
      <c r="B16" s="27" t="s">
        <v>98</v>
      </c>
      <c r="C16" s="22">
        <v>40617</v>
      </c>
      <c r="D16" s="22">
        <v>40669</v>
      </c>
      <c r="E16" s="27" t="s">
        <v>17</v>
      </c>
      <c r="F16" s="36">
        <v>4.8</v>
      </c>
      <c r="G16" s="27">
        <v>54725</v>
      </c>
      <c r="H16" s="36">
        <v>52.13</v>
      </c>
      <c r="I16" s="22">
        <v>41520</v>
      </c>
      <c r="J16" s="36">
        <v>2.5</v>
      </c>
      <c r="K16" s="13">
        <f t="shared" si="0"/>
        <v>2.473972602739726</v>
      </c>
      <c r="L16" s="13">
        <f t="shared" si="1"/>
        <v>2.3315068493150686</v>
      </c>
      <c r="M16" s="13">
        <f>VLOOKUP(E16,'Aging Factor'!$A$145:$H$242,5,1)</f>
        <v>0.98588743092128528</v>
      </c>
      <c r="N16" s="13">
        <f>VLOOKUP(E16,'Aging Factor'!$A$145:$H$242,8,1)</f>
        <v>1.1854350885855089</v>
      </c>
      <c r="O16" s="13">
        <f t="shared" si="2"/>
        <v>11.185597250329741</v>
      </c>
      <c r="P16" s="13">
        <f>$B$50*M16*(G16/12500)*('Degradation Model'!$B$26/F16)</f>
        <v>8.4113137298173353</v>
      </c>
      <c r="Q16" s="13">
        <f>IF(L16&lt;1,P16,(VLOOKUP(INT(L16)+1,A$409:L$423,4,1)-VLOOKUP(INT(L16),A$409:L$423,4,1))*(L16-INT(L16))+VLOOKUP(INT(L16),A$409:L$423,4,1))</f>
        <v>9.2204045743935801</v>
      </c>
      <c r="R16" s="13">
        <f t="shared" si="3"/>
        <v>1.3514245557298665</v>
      </c>
      <c r="S16" s="13">
        <f t="shared" si="4"/>
        <v>19.596910980147076</v>
      </c>
      <c r="T16" s="13">
        <f t="shared" si="5"/>
        <v>78.242573619546818</v>
      </c>
      <c r="U16" s="14">
        <f t="shared" si="6"/>
        <v>219.86163187092654</v>
      </c>
      <c r="V16" s="15">
        <f t="shared" si="7"/>
        <v>64.598850817561782</v>
      </c>
      <c r="W16" s="14">
        <f t="shared" si="8"/>
        <v>181.52277079734861</v>
      </c>
      <c r="X16" s="13">
        <v>3.5</v>
      </c>
      <c r="Y16" s="26">
        <f t="shared" si="9"/>
        <v>82151.806698002343</v>
      </c>
      <c r="Z16" s="13">
        <f t="shared" si="10"/>
        <v>1.1684931506849314</v>
      </c>
      <c r="AA16" s="29" t="str">
        <f t="shared" si="11"/>
        <v>No</v>
      </c>
      <c r="AB16" s="23">
        <f t="shared" si="12"/>
        <v>0.20948335535876944</v>
      </c>
      <c r="AC16" s="23">
        <f t="shared" si="13"/>
        <v>0.21757426380453185</v>
      </c>
      <c r="AD16" s="37">
        <f t="shared" si="14"/>
        <v>0.21313207547169807</v>
      </c>
      <c r="AE16" s="37">
        <f t="shared" si="15"/>
        <v>-4.4421883328337741E-3</v>
      </c>
      <c r="AF16" s="37">
        <f t="shared" si="16"/>
        <v>3.6487201129286329E-3</v>
      </c>
      <c r="AG16" s="37">
        <f t="shared" si="17"/>
        <v>-8.090908445762407E-3</v>
      </c>
      <c r="AH16" s="38">
        <f t="shared" si="18"/>
        <v>0.9795831167935164</v>
      </c>
    </row>
    <row r="17" spans="1:34">
      <c r="A17" s="8">
        <f t="shared" si="19"/>
        <v>13</v>
      </c>
      <c r="B17" s="27" t="s">
        <v>99</v>
      </c>
      <c r="C17" s="22">
        <v>40954</v>
      </c>
      <c r="D17" s="22">
        <v>41083</v>
      </c>
      <c r="E17" s="27" t="s">
        <v>17</v>
      </c>
      <c r="F17" s="36">
        <v>3.9</v>
      </c>
      <c r="G17" s="27">
        <v>18119</v>
      </c>
      <c r="H17" s="36">
        <v>57.51</v>
      </c>
      <c r="I17" s="22">
        <v>41532</v>
      </c>
      <c r="J17" s="36">
        <v>3</v>
      </c>
      <c r="K17" s="13">
        <f t="shared" si="0"/>
        <v>1.5835616438356164</v>
      </c>
      <c r="L17" s="13">
        <f t="shared" si="1"/>
        <v>1.2301369863013698</v>
      </c>
      <c r="M17" s="13">
        <f>VLOOKUP(E17,'Aging Factor'!$A$145:$H$242,5,1)</f>
        <v>0.98588743092128528</v>
      </c>
      <c r="N17" s="13">
        <f>VLOOKUP(E17,'Aging Factor'!$A$145:$H$242,8,1)</f>
        <v>1.1854350885855089</v>
      </c>
      <c r="O17" s="13">
        <f t="shared" si="2"/>
        <v>9.339983287783225</v>
      </c>
      <c r="P17" s="13">
        <f>$B$50*M17*(G17/12500)*('Degradation Model'!$B$26/F17)</f>
        <v>3.4275903932655791</v>
      </c>
      <c r="Q17" s="13">
        <f>IF(L17&lt;1,P17,(VLOOKUP(INT(L17)+1,A$431:L$445,4,1)-VLOOKUP(INT(L17),A$431:L$445,4,1))*(L17-INT(L17))+VLOOKUP(INT(L17),A$431:L$445,4,1))</f>
        <v>3.5189801401417404</v>
      </c>
      <c r="R17" s="13">
        <f t="shared" si="3"/>
        <v>1.0219298667321797</v>
      </c>
      <c r="S17" s="13">
        <f t="shared" si="4"/>
        <v>12.767573681048804</v>
      </c>
      <c r="T17" s="13">
        <f t="shared" si="5"/>
        <v>86.119106705342858</v>
      </c>
      <c r="U17" s="14">
        <f t="shared" si="6"/>
        <v>241.99468984201343</v>
      </c>
      <c r="V17" s="15">
        <f t="shared" si="7"/>
        <v>71.10189592754287</v>
      </c>
      <c r="W17" s="14">
        <f t="shared" si="8"/>
        <v>199.79632755639545</v>
      </c>
      <c r="X17" s="13">
        <v>4.0999999999999996</v>
      </c>
      <c r="Y17" s="26">
        <f t="shared" si="9"/>
        <v>60389.940979955456</v>
      </c>
      <c r="Z17" s="13">
        <f t="shared" si="10"/>
        <v>2.8698630136986298</v>
      </c>
      <c r="AA17" s="29" t="str">
        <f t="shared" si="11"/>
        <v>No</v>
      </c>
      <c r="AB17" s="23">
        <f t="shared" si="12"/>
        <v>0.13789503547780982</v>
      </c>
      <c r="AC17" s="23">
        <f t="shared" si="13"/>
        <v>0.13880893294657146</v>
      </c>
      <c r="AD17" s="37">
        <f t="shared" si="14"/>
        <v>0.13192452830188683</v>
      </c>
      <c r="AE17" s="37">
        <f t="shared" si="15"/>
        <v>-6.8844046446846219E-3</v>
      </c>
      <c r="AF17" s="37">
        <f t="shared" si="16"/>
        <v>-5.9705071759229844E-3</v>
      </c>
      <c r="AG17" s="37">
        <f t="shared" si="17"/>
        <v>-9.1389746876163747E-4</v>
      </c>
      <c r="AH17" s="38">
        <f t="shared" si="18"/>
        <v>0.95040373484223473</v>
      </c>
    </row>
    <row r="18" spans="1:34">
      <c r="A18" s="8">
        <f t="shared" si="19"/>
        <v>14</v>
      </c>
      <c r="B18" s="27" t="s">
        <v>100</v>
      </c>
      <c r="C18" s="22">
        <v>41075</v>
      </c>
      <c r="D18" s="22">
        <v>41202</v>
      </c>
      <c r="E18" s="27" t="s">
        <v>101</v>
      </c>
      <c r="F18" s="36">
        <v>3.5</v>
      </c>
      <c r="G18" s="27">
        <v>9304</v>
      </c>
      <c r="H18" s="36">
        <v>61.49</v>
      </c>
      <c r="I18" s="22">
        <v>41536</v>
      </c>
      <c r="J18" s="36">
        <v>4</v>
      </c>
      <c r="K18" s="13">
        <f t="shared" si="0"/>
        <v>1.263013698630137</v>
      </c>
      <c r="L18" s="13">
        <f t="shared" si="1"/>
        <v>0.91506849315068495</v>
      </c>
      <c r="M18" s="13">
        <f>VLOOKUP(E18,'Aging Factor'!$A$145:$H$242,5,1)</f>
        <v>0.84223087641294281</v>
      </c>
      <c r="N18" s="13">
        <f>VLOOKUP(E18,'Aging Factor'!$A$145:$H$242,8,1)</f>
        <v>1.1854350885855089</v>
      </c>
      <c r="O18" s="13">
        <f t="shared" si="2"/>
        <v>7.4164034884571715</v>
      </c>
      <c r="P18" s="13">
        <f>$B$50*M18*(G18/12500)*('Degradation Model'!$B$26/F18)</f>
        <v>1.675424204217848</v>
      </c>
      <c r="Q18" s="13">
        <f>IF(L18&lt;1,P18,(VLOOKUP(INT(L18)+1,A$453:L$467,4,1)-VLOOKUP(INT(L18),A$453:L$467,4,1))*(L18-INT(L18))+VLOOKUP(INT(L18),A$453:L$467,4,1))</f>
        <v>1.675424204217848</v>
      </c>
      <c r="R18" s="13">
        <f t="shared" si="3"/>
        <v>0.96339649919735759</v>
      </c>
      <c r="S18" s="13">
        <f t="shared" si="4"/>
        <v>9.0918276926750199</v>
      </c>
      <c r="T18" s="13">
        <f t="shared" si="5"/>
        <v>89.944775808127616</v>
      </c>
      <c r="U18" s="14">
        <f t="shared" si="6"/>
        <v>252.7448200208386</v>
      </c>
      <c r="V18" s="15">
        <f t="shared" si="7"/>
        <v>74.26045547147902</v>
      </c>
      <c r="W18" s="14">
        <f t="shared" si="8"/>
        <v>208.67187987485605</v>
      </c>
      <c r="X18" s="13">
        <v>6</v>
      </c>
      <c r="Y18" s="26">
        <f t="shared" si="9"/>
        <v>61005.269461077842</v>
      </c>
      <c r="Z18" s="13">
        <f t="shared" si="10"/>
        <v>5.0849315068493155</v>
      </c>
      <c r="AA18" s="29" t="str">
        <f t="shared" si="11"/>
        <v>No</v>
      </c>
      <c r="AB18" s="23">
        <f t="shared" si="12"/>
        <v>0.10055224191872376</v>
      </c>
      <c r="AC18" s="23">
        <f t="shared" si="13"/>
        <v>0.10055224191872376</v>
      </c>
      <c r="AD18" s="37">
        <f t="shared" si="14"/>
        <v>7.1849056603773553E-2</v>
      </c>
      <c r="AE18" s="37">
        <f t="shared" si="15"/>
        <v>-2.8703185314950211E-2</v>
      </c>
      <c r="AF18" s="37">
        <f t="shared" si="16"/>
        <v>-2.8703185314950211E-2</v>
      </c>
      <c r="AG18" s="37">
        <f t="shared" si="17"/>
        <v>0</v>
      </c>
      <c r="AH18" s="38">
        <f t="shared" si="18"/>
        <v>0.7145445514964156</v>
      </c>
    </row>
    <row r="19" spans="1:34">
      <c r="A19" s="8">
        <f t="shared" si="19"/>
        <v>15</v>
      </c>
      <c r="B19" s="27" t="s">
        <v>102</v>
      </c>
      <c r="C19" s="22">
        <v>40678</v>
      </c>
      <c r="D19" s="22">
        <v>40859</v>
      </c>
      <c r="E19" s="27" t="s">
        <v>88</v>
      </c>
      <c r="F19" s="36">
        <v>5.4</v>
      </c>
      <c r="G19" s="27">
        <v>20004</v>
      </c>
      <c r="H19" s="36">
        <v>52.22</v>
      </c>
      <c r="I19" s="22">
        <v>41536</v>
      </c>
      <c r="J19" s="36">
        <v>7</v>
      </c>
      <c r="K19" s="13">
        <f t="shared" si="0"/>
        <v>2.3506849315068492</v>
      </c>
      <c r="L19" s="13">
        <f t="shared" si="1"/>
        <v>1.8547945205479452</v>
      </c>
      <c r="M19" s="13">
        <f>VLOOKUP(E19,'Aging Factor'!$A$145:$H$242,5,1)</f>
        <v>1.1886265168599359</v>
      </c>
      <c r="N19" s="13">
        <f>VLOOKUP(E19,'Aging Factor'!$A$145:$H$242,8,1)</f>
        <v>1.1720674169847023</v>
      </c>
      <c r="O19" s="13">
        <f t="shared" si="2"/>
        <v>13.101042577870492</v>
      </c>
      <c r="P19" s="13">
        <f>$B$50*M19*(G19/12500)*('Degradation Model'!$B$26/F19)</f>
        <v>3.2950383214264178</v>
      </c>
      <c r="Q19" s="13">
        <f>IF(L19&lt;1,P19,(VLOOKUP(INT(L19)+1,A$475:L$489,4,1)-VLOOKUP(INT(L19),A$475:L$489,4,1))*(L19-INT(L19))+VLOOKUP(INT(L19),A$475:L$489,4,1))</f>
        <v>3.5585465768954316</v>
      </c>
      <c r="R19" s="13">
        <f t="shared" si="3"/>
        <v>2.8665724738869325</v>
      </c>
      <c r="S19" s="13">
        <f t="shared" si="4"/>
        <v>16.396080899296912</v>
      </c>
      <c r="T19" s="13">
        <f t="shared" si="5"/>
        <v>80.473838371347142</v>
      </c>
      <c r="U19" s="14">
        <f t="shared" si="6"/>
        <v>226.13148582348546</v>
      </c>
      <c r="V19" s="15">
        <f t="shared" si="7"/>
        <v>66.441033815489448</v>
      </c>
      <c r="W19" s="14">
        <f t="shared" si="8"/>
        <v>186.69930502152536</v>
      </c>
      <c r="X19" s="13">
        <v>3.9</v>
      </c>
      <c r="Y19" s="26">
        <f t="shared" si="9"/>
        <v>42061.586410635158</v>
      </c>
      <c r="Z19" s="13">
        <f t="shared" si="10"/>
        <v>2.0452054794520547</v>
      </c>
      <c r="AA19" s="29" t="str">
        <f t="shared" si="11"/>
        <v>Yes</v>
      </c>
      <c r="AB19" s="23">
        <f t="shared" si="12"/>
        <v>0.19262653373183844</v>
      </c>
      <c r="AC19" s="23">
        <f t="shared" si="13"/>
        <v>0.19526161628652858</v>
      </c>
      <c r="AD19" s="37">
        <f t="shared" si="14"/>
        <v>0.21177358490566039</v>
      </c>
      <c r="AE19" s="37">
        <f t="shared" si="15"/>
        <v>1.6511968619131817E-2</v>
      </c>
      <c r="AF19" s="37">
        <f t="shared" si="16"/>
        <v>1.9147051173821955E-2</v>
      </c>
      <c r="AG19" s="37">
        <f t="shared" si="17"/>
        <v>-2.635082554690138E-3</v>
      </c>
      <c r="AH19" s="38">
        <f t="shared" si="18"/>
        <v>1.0845633101536045</v>
      </c>
    </row>
    <row r="20" spans="1:34">
      <c r="A20" s="8">
        <f t="shared" si="19"/>
        <v>16</v>
      </c>
      <c r="B20" s="27" t="s">
        <v>103</v>
      </c>
      <c r="C20" s="22">
        <v>40678</v>
      </c>
      <c r="D20" s="22">
        <v>40782</v>
      </c>
      <c r="E20" s="27" t="s">
        <v>104</v>
      </c>
      <c r="F20" s="36">
        <v>4.2</v>
      </c>
      <c r="G20" s="27">
        <v>31723</v>
      </c>
      <c r="H20" s="27">
        <v>56.52</v>
      </c>
      <c r="I20" s="22">
        <v>41533</v>
      </c>
      <c r="J20" s="36">
        <v>7</v>
      </c>
      <c r="K20" s="13">
        <f t="shared" si="0"/>
        <v>2.3424657534246576</v>
      </c>
      <c r="L20" s="13">
        <f t="shared" si="1"/>
        <v>2.0575342465753423</v>
      </c>
      <c r="M20" s="13">
        <f>VLOOKUP(E20,'Aging Factor'!$A$145:$H$242,5,1)</f>
        <v>0.76206058561995116</v>
      </c>
      <c r="N20" s="13">
        <f>VLOOKUP(E20,'Aging Factor'!$A$145:$H$242,8,1)</f>
        <v>1.1854350885855089</v>
      </c>
      <c r="O20" s="13">
        <f t="shared" si="2"/>
        <v>8.576989049335948</v>
      </c>
      <c r="P20" s="13">
        <f>$B$50*M20*(G20/12500)*('Degradation Model'!$B$26/F20)</f>
        <v>4.3073129828435501</v>
      </c>
      <c r="Q20" s="13">
        <f>IF(L20&lt;1,P20,(VLOOKUP(INT(L20)+1,A$497:L$511,4,1)-VLOOKUP(INT(L20),A$497:L$511,4,1))*(L20-INT(L20))+VLOOKUP(INT(L20),A$497:L$511,4,1))</f>
        <v>4.577026784603424</v>
      </c>
      <c r="R20" s="13">
        <f t="shared" si="3"/>
        <v>2.4392160914217347</v>
      </c>
      <c r="S20" s="13">
        <f t="shared" si="4"/>
        <v>12.884302032179498</v>
      </c>
      <c r="T20" s="13">
        <f t="shared" si="5"/>
        <v>84.40676807463889</v>
      </c>
      <c r="U20" s="14">
        <f t="shared" si="6"/>
        <v>237.18301828973526</v>
      </c>
      <c r="V20" s="15">
        <f t="shared" si="7"/>
        <v>69.688150154150264</v>
      </c>
      <c r="W20" s="14">
        <f t="shared" si="8"/>
        <v>195.82370193316223</v>
      </c>
      <c r="X20" s="13">
        <v>5.3</v>
      </c>
      <c r="Y20" s="26">
        <f t="shared" si="9"/>
        <v>81715.237683089217</v>
      </c>
      <c r="Z20" s="13">
        <f t="shared" si="10"/>
        <v>3.2424657534246575</v>
      </c>
      <c r="AA20" s="29" t="str">
        <f t="shared" si="11"/>
        <v>No</v>
      </c>
      <c r="AB20" s="23">
        <f t="shared" si="12"/>
        <v>0.15323518123601232</v>
      </c>
      <c r="AC20" s="23">
        <f t="shared" si="13"/>
        <v>0.15593231925361106</v>
      </c>
      <c r="AD20" s="37">
        <f t="shared" si="14"/>
        <v>0.14686792452830183</v>
      </c>
      <c r="AE20" s="37">
        <f t="shared" si="15"/>
        <v>-9.0643947253092327E-3</v>
      </c>
      <c r="AF20" s="37">
        <f t="shared" si="16"/>
        <v>-6.3672567077104891E-3</v>
      </c>
      <c r="AG20" s="37">
        <f t="shared" si="17"/>
        <v>-2.6971380175987436E-3</v>
      </c>
      <c r="AH20" s="38">
        <f t="shared" si="18"/>
        <v>0.94186968571559082</v>
      </c>
    </row>
    <row r="21" spans="1:34">
      <c r="A21" s="8">
        <f t="shared" si="19"/>
        <v>17</v>
      </c>
      <c r="B21" s="27" t="s">
        <v>105</v>
      </c>
      <c r="C21" s="22">
        <v>40648</v>
      </c>
      <c r="D21" s="22">
        <v>40694</v>
      </c>
      <c r="E21" s="27" t="s">
        <v>106</v>
      </c>
      <c r="F21" s="36">
        <v>4.4000000000000004</v>
      </c>
      <c r="G21" s="27">
        <v>31056</v>
      </c>
      <c r="H21" s="27">
        <v>46.69</v>
      </c>
      <c r="I21" s="22">
        <v>41533</v>
      </c>
      <c r="J21" s="36">
        <v>0</v>
      </c>
      <c r="K21" s="13">
        <f t="shared" si="0"/>
        <v>2.4246575342465753</v>
      </c>
      <c r="L21" s="13">
        <f t="shared" si="1"/>
        <v>2.2986301369863016</v>
      </c>
      <c r="M21" s="13">
        <f>VLOOKUP(E21,'Aging Factor'!$A$145:$H$242,5,1)</f>
        <v>1.6292355391379474</v>
      </c>
      <c r="N21" s="13">
        <f>VLOOKUP(E21,'Aging Factor'!$A$145:$H$242,8,1)</f>
        <v>1.2264598449964383</v>
      </c>
      <c r="O21" s="13">
        <f t="shared" si="2"/>
        <v>18.00695138842093</v>
      </c>
      <c r="P21" s="13">
        <f>$B$50*M21*(G21/12500)*('Degradation Model'!$B$26/F21)</f>
        <v>8.6053529095021659</v>
      </c>
      <c r="Q21" s="13">
        <f>IF(L21&lt;1,P21,(VLOOKUP(INT(L21)+1,A$519:L$533,4,1)-VLOOKUP(INT(L21),A$519:L$533,4,1))*(L21-INT(L21))+VLOOKUP(INT(L21),A$519:L$533,4,1))</f>
        <v>9.7278175725238647</v>
      </c>
      <c r="R21" s="13">
        <f t="shared" si="3"/>
        <v>0</v>
      </c>
      <c r="S21" s="13">
        <f t="shared" si="4"/>
        <v>26.612304297923096</v>
      </c>
      <c r="T21" s="13">
        <f t="shared" si="5"/>
        <v>72.265231039055195</v>
      </c>
      <c r="U21" s="14">
        <f t="shared" si="6"/>
        <v>203.0652992197451</v>
      </c>
      <c r="V21" s="15">
        <f t="shared" si="7"/>
        <v>59.663820644344497</v>
      </c>
      <c r="W21" s="14">
        <f t="shared" si="8"/>
        <v>167.65533601060804</v>
      </c>
      <c r="X21" s="13">
        <v>2.5</v>
      </c>
      <c r="Y21" s="26">
        <f t="shared" si="9"/>
        <v>33776.638855780686</v>
      </c>
      <c r="Z21" s="13">
        <f t="shared" si="10"/>
        <v>0.20136986301369841</v>
      </c>
      <c r="AA21" s="29" t="str">
        <f t="shared" si="11"/>
        <v>Yes</v>
      </c>
      <c r="AB21" s="23">
        <f t="shared" si="12"/>
        <v>0.26612304297923095</v>
      </c>
      <c r="AC21" s="23">
        <f t="shared" si="13"/>
        <v>0.27734768960944794</v>
      </c>
      <c r="AD21" s="37">
        <f t="shared" si="14"/>
        <v>0.29524528301886793</v>
      </c>
      <c r="AE21" s="37">
        <f t="shared" si="15"/>
        <v>1.7897593409419987E-2</v>
      </c>
      <c r="AF21" s="37">
        <f t="shared" si="16"/>
        <v>2.9122240039636982E-2</v>
      </c>
      <c r="AG21" s="37">
        <f t="shared" si="17"/>
        <v>-1.1224646630216994E-2</v>
      </c>
      <c r="AH21" s="38">
        <f t="shared" si="18"/>
        <v>1.0645312511332718</v>
      </c>
    </row>
    <row r="22" spans="1:34">
      <c r="A22" s="8">
        <f t="shared" si="19"/>
        <v>18</v>
      </c>
      <c r="B22" s="27" t="s">
        <v>107</v>
      </c>
      <c r="C22" s="22">
        <v>40862</v>
      </c>
      <c r="D22" s="22">
        <v>40885</v>
      </c>
      <c r="E22" s="27" t="s">
        <v>108</v>
      </c>
      <c r="F22" s="36">
        <v>4.8</v>
      </c>
      <c r="G22" s="27">
        <v>16092</v>
      </c>
      <c r="H22" s="27">
        <v>59.37</v>
      </c>
      <c r="I22" s="22">
        <v>41537</v>
      </c>
      <c r="J22" s="36">
        <v>0</v>
      </c>
      <c r="K22" s="13">
        <f t="shared" si="0"/>
        <v>1.8493150684931507</v>
      </c>
      <c r="L22" s="13">
        <f t="shared" si="1"/>
        <v>1.7863013698630137</v>
      </c>
      <c r="M22" s="13">
        <f>VLOOKUP(E22,'Aging Factor'!$A$145:$H$242,5,1)</f>
        <v>0.81576159604864318</v>
      </c>
      <c r="N22" s="13">
        <f>VLOOKUP(E22,'Aging Factor'!$A$145:$H$242,8,1)</f>
        <v>1.1854350885855089</v>
      </c>
      <c r="O22" s="13">
        <f t="shared" si="2"/>
        <v>8.3464319087105139</v>
      </c>
      <c r="P22" s="13">
        <f>$B$50*M22*(G22/12500)*('Degradation Model'!$B$26/F22)</f>
        <v>2.0465577855128023</v>
      </c>
      <c r="Q22" s="13">
        <f>IF(L22&lt;1,P22,(VLOOKUP(INT(L22)+1,A$541:L$555,4,1)-VLOOKUP(INT(L22),A$541:L$555,4,1))*(L22-INT(L22))+VLOOKUP(INT(L22),A$541:L$555,4,1))</f>
        <v>2.1238346770777223</v>
      </c>
      <c r="R22" s="13">
        <f t="shared" si="3"/>
        <v>0</v>
      </c>
      <c r="S22" s="13">
        <f t="shared" si="4"/>
        <v>10.392989694223317</v>
      </c>
      <c r="T22" s="13">
        <f t="shared" si="5"/>
        <v>89.529733414211762</v>
      </c>
      <c r="U22" s="14">
        <f t="shared" si="6"/>
        <v>251.57855089393507</v>
      </c>
      <c r="V22" s="15">
        <f t="shared" si="7"/>
        <v>73.917787018139251</v>
      </c>
      <c r="W22" s="14">
        <f t="shared" si="8"/>
        <v>207.70898152097129</v>
      </c>
      <c r="X22" s="13">
        <v>10.1</v>
      </c>
      <c r="Y22" s="26">
        <f t="shared" si="9"/>
        <v>90986.438650306751</v>
      </c>
      <c r="Z22" s="13">
        <f t="shared" si="10"/>
        <v>8.3136986301369866</v>
      </c>
      <c r="AA22" s="29" t="str">
        <f t="shared" si="11"/>
        <v>No</v>
      </c>
      <c r="AB22" s="23">
        <f t="shared" si="12"/>
        <v>0.10392989694223317</v>
      </c>
      <c r="AC22" s="23">
        <f t="shared" si="13"/>
        <v>0.10470266585788236</v>
      </c>
      <c r="AD22" s="37">
        <f t="shared" si="14"/>
        <v>0.10384905660377362</v>
      </c>
      <c r="AE22" s="37">
        <f t="shared" si="15"/>
        <v>-8.5360925410873922E-4</v>
      </c>
      <c r="AF22" s="37">
        <f t="shared" si="16"/>
        <v>-8.0840338459550742E-5</v>
      </c>
      <c r="AG22" s="37">
        <f t="shared" si="17"/>
        <v>-7.7276891564918848E-4</v>
      </c>
      <c r="AH22" s="38">
        <f t="shared" si="18"/>
        <v>0.9918473016220295</v>
      </c>
    </row>
    <row r="23" spans="1:34">
      <c r="A23" s="8">
        <f t="shared" si="19"/>
        <v>19</v>
      </c>
      <c r="B23" s="27" t="s">
        <v>109</v>
      </c>
      <c r="C23" s="22">
        <v>40617</v>
      </c>
      <c r="D23" s="22">
        <v>40681</v>
      </c>
      <c r="E23" s="27" t="s">
        <v>92</v>
      </c>
      <c r="F23" s="36">
        <v>4.0999999999999996</v>
      </c>
      <c r="G23" s="27">
        <v>42300</v>
      </c>
      <c r="H23" s="27">
        <v>55.96</v>
      </c>
      <c r="I23" s="22">
        <v>41537</v>
      </c>
      <c r="J23" s="36">
        <v>1</v>
      </c>
      <c r="K23" s="13">
        <f t="shared" si="0"/>
        <v>2.5205479452054793</v>
      </c>
      <c r="L23" s="13">
        <f t="shared" si="1"/>
        <v>2.3452054794520549</v>
      </c>
      <c r="M23" s="13">
        <f>VLOOKUP(E23,'Aging Factor'!$A$145:$H$242,5,1)</f>
        <v>0.71790831336610927</v>
      </c>
      <c r="N23" s="13">
        <f>VLOOKUP(E23,'Aging Factor'!$A$145:$H$242,8,1)</f>
        <v>1.1074564754411067</v>
      </c>
      <c r="O23" s="13">
        <f t="shared" si="2"/>
        <v>8.3348756783054654</v>
      </c>
      <c r="P23" s="13">
        <f>$B$50*M23*(G23/12500)*('Degradation Model'!$B$26/F23)</f>
        <v>5.5426500903604037</v>
      </c>
      <c r="Q23" s="13">
        <f>IF(L23&lt;1,P23,(VLOOKUP(INT(L23)+1,A$563:L$577,4,1)-VLOOKUP(INT(L23),A$563:L$577,4,1))*(L23-INT(L23))+VLOOKUP(INT(L23),A$563:L$577,4,1))</f>
        <v>5.8925108608473167</v>
      </c>
      <c r="R23" s="13">
        <f t="shared" si="3"/>
        <v>0.21840354460508613</v>
      </c>
      <c r="S23" s="13">
        <f t="shared" si="4"/>
        <v>13.877525768665869</v>
      </c>
      <c r="T23" s="13">
        <f t="shared" si="5"/>
        <v>85.554209916242129</v>
      </c>
      <c r="U23" s="14">
        <f t="shared" si="6"/>
        <v>240.40732986464039</v>
      </c>
      <c r="V23" s="15">
        <f t="shared" si="7"/>
        <v>70.63550427248461</v>
      </c>
      <c r="W23" s="14">
        <f t="shared" si="8"/>
        <v>198.48576700568174</v>
      </c>
      <c r="X23" s="13">
        <v>6.2</v>
      </c>
      <c r="Y23" s="26">
        <f t="shared" si="9"/>
        <v>111828.15420560748</v>
      </c>
      <c r="Z23" s="13">
        <f t="shared" si="10"/>
        <v>3.8547945205479452</v>
      </c>
      <c r="AA23" s="29" t="str">
        <f t="shared" si="11"/>
        <v>No</v>
      </c>
      <c r="AB23" s="23">
        <f t="shared" si="12"/>
        <v>0.14095929313270955</v>
      </c>
      <c r="AC23" s="23">
        <f t="shared" si="13"/>
        <v>0.1444579008375787</v>
      </c>
      <c r="AD23" s="37">
        <f t="shared" si="14"/>
        <v>0.15532075471698112</v>
      </c>
      <c r="AE23" s="37">
        <f t="shared" si="15"/>
        <v>1.0862853879402418E-2</v>
      </c>
      <c r="AF23" s="37">
        <f t="shared" si="16"/>
        <v>1.4361461584271568E-2</v>
      </c>
      <c r="AG23" s="37">
        <f t="shared" si="17"/>
        <v>-3.49860770486915E-3</v>
      </c>
      <c r="AH23" s="38">
        <f t="shared" si="18"/>
        <v>1.075197367651189</v>
      </c>
    </row>
    <row r="24" spans="1:34">
      <c r="A24" s="8">
        <f t="shared" si="19"/>
        <v>20</v>
      </c>
      <c r="B24" s="27" t="s">
        <v>110</v>
      </c>
      <c r="C24" s="22">
        <v>40617</v>
      </c>
      <c r="D24" s="22">
        <v>40634</v>
      </c>
      <c r="E24" s="27" t="s">
        <v>84</v>
      </c>
      <c r="F24" s="36">
        <v>4.3</v>
      </c>
      <c r="G24" s="27">
        <v>35499</v>
      </c>
      <c r="H24" s="27">
        <v>52.99</v>
      </c>
      <c r="I24" s="22">
        <v>41529</v>
      </c>
      <c r="J24" s="36">
        <v>7</v>
      </c>
      <c r="K24" s="13">
        <f t="shared" si="0"/>
        <v>2.4986301369863013</v>
      </c>
      <c r="L24" s="13">
        <f t="shared" si="1"/>
        <v>2.452054794520548</v>
      </c>
      <c r="M24" s="13">
        <f>VLOOKUP(E24,'Aging Factor'!$A$145:$H$242,5,1)</f>
        <v>0.88201889682399837</v>
      </c>
      <c r="N24" s="13">
        <f>VLOOKUP(E24,'Aging Factor'!$A$145:$H$242,8,1)</f>
        <v>1.1854350885855089</v>
      </c>
      <c r="O24" s="13">
        <f t="shared" si="2"/>
        <v>10.097771176149477</v>
      </c>
      <c r="P24" s="13">
        <f>$B$50*M24*(G24/12500)*('Degradation Model'!$B$26/F24)</f>
        <v>5.449008966814505</v>
      </c>
      <c r="Q24" s="13">
        <f>IF(L24&lt;1,P24,(VLOOKUP(INT(L24)+1,A$585:L$599,4,1)-VLOOKUP(INT(L24),A$585:L$599,4,1))*(L24-INT(L24))+VLOOKUP(INT(L24),A$585:L$599,4,1))</f>
        <v>5.9287156698480032</v>
      </c>
      <c r="R24" s="13">
        <f t="shared" si="3"/>
        <v>2.9718730080020372</v>
      </c>
      <c r="S24" s="13">
        <f t="shared" si="4"/>
        <v>15.546780142963982</v>
      </c>
      <c r="T24" s="13">
        <f t="shared" si="5"/>
        <v>81.001640146000469</v>
      </c>
      <c r="U24" s="14">
        <f t="shared" si="6"/>
        <v>227.6146088102613</v>
      </c>
      <c r="V24" s="15">
        <f t="shared" si="7"/>
        <v>66.876798981751278</v>
      </c>
      <c r="W24" s="14">
        <f t="shared" si="8"/>
        <v>187.92380513872106</v>
      </c>
      <c r="X24" s="13">
        <v>4.5999999999999996</v>
      </c>
      <c r="Y24" s="26">
        <f t="shared" si="9"/>
        <v>66595.330726256972</v>
      </c>
      <c r="Z24" s="13">
        <f t="shared" si="10"/>
        <v>2.1479452054794517</v>
      </c>
      <c r="AA24" s="29" t="str">
        <f t="shared" si="11"/>
        <v>No</v>
      </c>
      <c r="AB24" s="23">
        <f t="shared" si="12"/>
        <v>0.18518653150966022</v>
      </c>
      <c r="AC24" s="23">
        <f t="shared" si="13"/>
        <v>0.18998359853999522</v>
      </c>
      <c r="AD24" s="37">
        <f t="shared" si="14"/>
        <v>0.20015094339622638</v>
      </c>
      <c r="AE24" s="37">
        <f t="shared" si="15"/>
        <v>1.0167344856231164E-2</v>
      </c>
      <c r="AF24" s="37">
        <f t="shared" si="16"/>
        <v>1.4964411886566165E-2</v>
      </c>
      <c r="AG24" s="37">
        <f t="shared" si="17"/>
        <v>-4.7970670303350005E-3</v>
      </c>
      <c r="AH24" s="38">
        <f t="shared" si="18"/>
        <v>1.0535169611185713</v>
      </c>
    </row>
    <row r="25" spans="1:34">
      <c r="A25" s="8">
        <f t="shared" si="19"/>
        <v>21</v>
      </c>
      <c r="B25" s="27" t="s">
        <v>111</v>
      </c>
      <c r="C25" s="22">
        <v>40678</v>
      </c>
      <c r="D25" s="22">
        <v>40710</v>
      </c>
      <c r="E25" s="27" t="s">
        <v>17</v>
      </c>
      <c r="F25" s="36">
        <v>4.4000000000000004</v>
      </c>
      <c r="G25" s="27">
        <v>26328</v>
      </c>
      <c r="H25" s="27">
        <v>56.09</v>
      </c>
      <c r="I25" s="22">
        <v>41534</v>
      </c>
      <c r="J25" s="36">
        <v>5</v>
      </c>
      <c r="K25" s="13">
        <f t="shared" si="0"/>
        <v>2.3452054794520549</v>
      </c>
      <c r="L25" s="13">
        <f t="shared" si="1"/>
        <v>2.2575342465753425</v>
      </c>
      <c r="M25" s="13">
        <f>VLOOKUP(E25,'Aging Factor'!$A$145:$H$242,5,1)</f>
        <v>0.98588743092128528</v>
      </c>
      <c r="N25" s="13">
        <f>VLOOKUP(E25,'Aging Factor'!$A$145:$H$242,8,1)</f>
        <v>1.1854350885855089</v>
      </c>
      <c r="O25" s="13">
        <f t="shared" si="2"/>
        <v>10.945902154352252</v>
      </c>
      <c r="P25" s="13">
        <f>$B$50*M25*(G25/12500)*('Degradation Model'!$B$26/F25)</f>
        <v>4.4145301956785072</v>
      </c>
      <c r="Q25" s="13">
        <f>IF(L25&lt;1,P25,(VLOOKUP(INT(L25)+1,A$607:L$621,4,1)-VLOOKUP(INT(L25),A$607:L$621,4,1))*(L25-INT(L25))+VLOOKUP(INT(L25),A$607:L$621,4,1))</f>
        <v>4.7638468669587617</v>
      </c>
      <c r="R25" s="13">
        <f t="shared" si="3"/>
        <v>2.0808133581592285</v>
      </c>
      <c r="S25" s="13">
        <f t="shared" si="4"/>
        <v>15.360432350030759</v>
      </c>
      <c r="T25" s="13">
        <f t="shared" si="5"/>
        <v>82.209437620529755</v>
      </c>
      <c r="U25" s="14">
        <f t="shared" si="6"/>
        <v>231.00851971368863</v>
      </c>
      <c r="V25" s="15">
        <f t="shared" si="7"/>
        <v>67.873984085277243</v>
      </c>
      <c r="W25" s="14">
        <f t="shared" si="8"/>
        <v>190.72589527962904</v>
      </c>
      <c r="X25" s="13">
        <v>4.9000000000000004</v>
      </c>
      <c r="Y25" s="26">
        <f t="shared" si="9"/>
        <v>57145.179611650485</v>
      </c>
      <c r="Z25" s="13">
        <f t="shared" si="10"/>
        <v>2.6424657534246578</v>
      </c>
      <c r="AA25" s="29" t="str">
        <f t="shared" si="11"/>
        <v>Yes</v>
      </c>
      <c r="AB25" s="23">
        <f t="shared" si="12"/>
        <v>0.1744124570818999</v>
      </c>
      <c r="AC25" s="23">
        <f t="shared" si="13"/>
        <v>0.17790562379470243</v>
      </c>
      <c r="AD25" s="37">
        <f t="shared" si="14"/>
        <v>0.15335849056603768</v>
      </c>
      <c r="AE25" s="37">
        <f t="shared" si="15"/>
        <v>-2.4547133228664753E-2</v>
      </c>
      <c r="AF25" s="37">
        <f t="shared" si="16"/>
        <v>-2.1053966515862221E-2</v>
      </c>
      <c r="AG25" s="37">
        <f t="shared" si="17"/>
        <v>-3.4931667128025312E-3</v>
      </c>
      <c r="AH25" s="38">
        <f t="shared" si="18"/>
        <v>0.8620216005257294</v>
      </c>
    </row>
    <row r="26" spans="1:34">
      <c r="A26" s="8">
        <f t="shared" si="19"/>
        <v>22</v>
      </c>
      <c r="B26" s="27" t="s">
        <v>112</v>
      </c>
      <c r="C26" s="22">
        <v>40770</v>
      </c>
      <c r="D26" s="22">
        <v>41075</v>
      </c>
      <c r="E26" s="27" t="s">
        <v>88</v>
      </c>
      <c r="F26" s="27">
        <v>4.5</v>
      </c>
      <c r="G26" s="27">
        <v>7772</v>
      </c>
      <c r="H26" s="27">
        <v>56.36</v>
      </c>
      <c r="I26" s="22">
        <v>41536</v>
      </c>
      <c r="J26" s="36">
        <v>2</v>
      </c>
      <c r="K26" s="13">
        <f t="shared" si="0"/>
        <v>2.0986301369863014</v>
      </c>
      <c r="L26" s="13">
        <f t="shared" si="1"/>
        <v>1.263013698630137</v>
      </c>
      <c r="M26" s="13">
        <f>VLOOKUP(E26,'Aging Factor'!$A$145:$H$242,5,1)</f>
        <v>1.1886265168599359</v>
      </c>
      <c r="N26" s="13">
        <f>VLOOKUP(E26,'Aging Factor'!$A$145:$H$242,8,1)</f>
        <v>1.1720674169847023</v>
      </c>
      <c r="O26" s="13">
        <f t="shared" si="2"/>
        <v>12.490925076893857</v>
      </c>
      <c r="P26" s="13">
        <f>$B$50*M26*(G26/12500)*('Degradation Model'!$B$26/F26)</f>
        <v>1.5362350230429584</v>
      </c>
      <c r="Q26" s="13">
        <f>IF(L26&lt;1,P26,(VLOOKUP(INT(L26)+1,A$629:L$643,4,1)-VLOOKUP(INT(L26),A$629:L$643,4,1))*(L26-INT(L26))+VLOOKUP(INT(L26),A$629:L$649,4,1))</f>
        <v>1.586869591117072</v>
      </c>
      <c r="R26" s="13">
        <f t="shared" si="3"/>
        <v>0.69209421867590148</v>
      </c>
      <c r="S26" s="13">
        <f t="shared" si="4"/>
        <v>14.027160099936816</v>
      </c>
      <c r="T26" s="13">
        <f t="shared" si="5"/>
        <v>85.230111113313171</v>
      </c>
      <c r="U26" s="14">
        <f t="shared" si="6"/>
        <v>239.49661222841002</v>
      </c>
      <c r="V26" s="15">
        <f t="shared" si="7"/>
        <v>70.367920919176711</v>
      </c>
      <c r="W26" s="14">
        <f t="shared" si="8"/>
        <v>197.73385778288656</v>
      </c>
      <c r="X26" s="13">
        <v>5.7</v>
      </c>
      <c r="Y26" s="26">
        <f t="shared" si="9"/>
        <v>35075.154013015184</v>
      </c>
      <c r="Z26" s="13">
        <f t="shared" si="10"/>
        <v>4.4369863013698634</v>
      </c>
      <c r="AA26" s="29" t="str">
        <f t="shared" si="11"/>
        <v>No</v>
      </c>
      <c r="AB26" s="23">
        <f t="shared" si="12"/>
        <v>0.14719254318612718</v>
      </c>
      <c r="AC26" s="23">
        <f t="shared" si="13"/>
        <v>0.1476988888668683</v>
      </c>
      <c r="AD26" s="37">
        <f t="shared" si="14"/>
        <v>0.14928301886792453</v>
      </c>
      <c r="AE26" s="37">
        <f t="shared" si="15"/>
        <v>1.5841300010562276E-3</v>
      </c>
      <c r="AF26" s="37">
        <f t="shared" si="16"/>
        <v>2.0904756817973491E-3</v>
      </c>
      <c r="AG26" s="37">
        <f t="shared" si="17"/>
        <v>-5.0634568074112152E-4</v>
      </c>
      <c r="AH26" s="38">
        <f t="shared" si="18"/>
        <v>1.0107254022911718</v>
      </c>
    </row>
    <row r="27" spans="1:34">
      <c r="A27" s="8">
        <f t="shared" si="19"/>
        <v>23</v>
      </c>
      <c r="C27" s="39"/>
      <c r="D27" s="39"/>
      <c r="I27" s="39"/>
    </row>
    <row r="28" spans="1:34">
      <c r="A28" s="8">
        <f t="shared" si="19"/>
        <v>24</v>
      </c>
      <c r="W28" s="7" t="s">
        <v>113</v>
      </c>
      <c r="X28" s="13">
        <f>AVERAGE(X5:X25)</f>
        <v>5.7523809523809524</v>
      </c>
      <c r="Y28" s="14">
        <f>AVERAGE(Y5:Y25)</f>
        <v>71561.299575928148</v>
      </c>
      <c r="AD28" s="7" t="s">
        <v>113</v>
      </c>
      <c r="AE28" s="23">
        <f>AVERAGE(AE5:AE26)</f>
        <v>1.2420556522574288E-3</v>
      </c>
      <c r="AF28" s="23">
        <f>AVERAGE(AF5:AF26)</f>
        <v>4.9796362350453781E-3</v>
      </c>
      <c r="AG28" s="23">
        <f>AVERAGE(AG5:AG26)</f>
        <v>-3.7375805827879497E-3</v>
      </c>
      <c r="AH28" s="23">
        <f>AVERAGE(AH5:AH26)</f>
        <v>1.0003519495834321</v>
      </c>
    </row>
    <row r="29" spans="1:34">
      <c r="A29" s="8">
        <f t="shared" si="19"/>
        <v>25</v>
      </c>
      <c r="W29" s="7" t="s">
        <v>114</v>
      </c>
      <c r="X29" s="13" t="e">
        <f ca="1">_xlfn.STDEV.S(X5:X26)</f>
        <v>#NAME?</v>
      </c>
      <c r="Y29" s="14" t="e">
        <f ca="1">_xlfn.STDEV.S(Y5:Y26)</f>
        <v>#NAME?</v>
      </c>
      <c r="AD29" s="7" t="s">
        <v>114</v>
      </c>
      <c r="AE29" s="23" t="e">
        <f ca="1">_xlfn.STDEV.S(AE5:AE26)</f>
        <v>#NAME?</v>
      </c>
      <c r="AF29" s="23" t="e">
        <f ca="1">_xlfn.STDEV.S(AF5:AF26)</f>
        <v>#NAME?</v>
      </c>
      <c r="AG29" s="23" t="e">
        <f ca="1">_xlfn.STDEV.S(AG5:AG26)</f>
        <v>#NAME?</v>
      </c>
      <c r="AH29" s="23" t="e">
        <f ca="1">_xlfn.STDEV.S(AH5:AH26)</f>
        <v>#NAME?</v>
      </c>
    </row>
    <row r="30" spans="1:34">
      <c r="A30" s="8">
        <f t="shared" si="19"/>
        <v>26</v>
      </c>
      <c r="B30" s="7" t="s">
        <v>115</v>
      </c>
      <c r="W30" s="7" t="s">
        <v>116</v>
      </c>
      <c r="X30" s="13">
        <f>MEDIAN(X5:X26)</f>
        <v>5.0500000000000007</v>
      </c>
      <c r="Y30" s="14">
        <f>MEDIAN(Y5:Y26)</f>
        <v>63782.405548537266</v>
      </c>
      <c r="AD30" s="7" t="s">
        <v>116</v>
      </c>
      <c r="AE30" s="23">
        <f>MEDIAN(AE5:AE26)</f>
        <v>1.5364800452293825E-3</v>
      </c>
      <c r="AF30" s="23">
        <f>MEDIAN(AF5:AF26)</f>
        <v>5.3938318193832435E-3</v>
      </c>
      <c r="AG30" s="23">
        <f>MEDIAN(AG5:AG26)</f>
        <v>-2.8254436659009563E-3</v>
      </c>
      <c r="AH30" s="23">
        <f>MEDIAN(AH5:AH26)</f>
        <v>1.0100769517888293</v>
      </c>
    </row>
    <row r="31" spans="1:34">
      <c r="A31" s="8">
        <f t="shared" si="19"/>
        <v>27</v>
      </c>
    </row>
    <row r="32" spans="1:34">
      <c r="A32" s="8">
        <f t="shared" si="19"/>
        <v>28</v>
      </c>
      <c r="B32" s="27" t="s">
        <v>117</v>
      </c>
      <c r="C32" s="22">
        <v>40497</v>
      </c>
      <c r="D32" s="22">
        <v>40548</v>
      </c>
      <c r="E32" s="27" t="s">
        <v>17</v>
      </c>
      <c r="F32" s="36">
        <v>4.9000000000000004</v>
      </c>
      <c r="G32" s="27">
        <v>33700</v>
      </c>
      <c r="H32" s="36">
        <v>52.54</v>
      </c>
      <c r="I32" s="22">
        <v>41512</v>
      </c>
      <c r="J32" s="36">
        <v>7</v>
      </c>
      <c r="K32" s="13">
        <f t="shared" ref="K32:K38" si="20">(I32-C32)/365</f>
        <v>2.7808219178082192</v>
      </c>
      <c r="L32" s="13">
        <f t="shared" ref="L32:L38" si="21">(I32-D32)/365</f>
        <v>2.6410958904109587</v>
      </c>
      <c r="M32" s="13">
        <f>VLOOKUP(E32,'Aging Factor'!$A$145:$H$242,5,1)</f>
        <v>0.98588743092128528</v>
      </c>
      <c r="N32" s="13">
        <f>VLOOKUP(E32,'Aging Factor'!$A$145:$H$242,8,1)</f>
        <v>1.1854350885855089</v>
      </c>
      <c r="O32" s="13">
        <f t="shared" ref="O32:O38" si="22">(M32*$B$49*SQRT(K32))-((0.32989795*K32)-1.302)</f>
        <v>11.728528745833573</v>
      </c>
      <c r="P32" s="13">
        <f>K32*$B$50*M32*(G32/K32)/12500*'Degradation Model'!$B$26/F32</f>
        <v>5.0740310417961876</v>
      </c>
      <c r="Q32" s="13">
        <f t="shared" ref="Q32:Q38" si="23">P32-(100*AG32)</f>
        <v>5.6956870914839923</v>
      </c>
      <c r="R32" s="13">
        <f t="shared" ref="R32:R38" si="24">((N32-1)*S32*J32/7)</f>
        <v>3.1157841626824352</v>
      </c>
      <c r="S32" s="13">
        <f t="shared" ref="S32:S38" si="25">O32+P32</f>
        <v>16.802559787629761</v>
      </c>
      <c r="T32" s="13">
        <f t="shared" ref="T32:T38" si="26">(1-AC32)*100</f>
        <v>79.459999999999994</v>
      </c>
      <c r="U32" s="14">
        <f t="shared" ref="U32:U38" si="27">281*T32/100</f>
        <v>223.28259999999997</v>
      </c>
      <c r="V32" s="15">
        <f t="shared" ref="V32:V38" si="28">W32/281*100</f>
        <v>65.603985765124548</v>
      </c>
      <c r="W32" s="14">
        <f t="shared" ref="W32:W38" si="29">T32*232/100</f>
        <v>184.34719999999999</v>
      </c>
      <c r="X32" s="13">
        <v>4.5999999999999996</v>
      </c>
      <c r="Y32" s="26">
        <f t="shared" ref="Y32:Y38" si="30">G32/((I32-D32)/365)*X32</f>
        <v>58695.331950207474</v>
      </c>
      <c r="Z32" s="13">
        <f t="shared" ref="Z32:Z38" si="31">X32-L32</f>
        <v>1.9589041095890409</v>
      </c>
      <c r="AA32" s="29" t="str">
        <f t="shared" ref="AA32:AA38" si="32">IF(AND(X32&lt;=5,Y32&lt;60000),"Yes","No")</f>
        <v>Yes</v>
      </c>
      <c r="AB32" s="23">
        <f t="shared" ref="AB32:AB38" si="33">(S32+R32)/100</f>
        <v>0.19918343950312195</v>
      </c>
      <c r="AC32" s="23">
        <v>0.2054</v>
      </c>
      <c r="AD32" s="37">
        <f t="shared" ref="AD32:AD38" si="34">($B$75-H32)/$B$75</f>
        <v>0.20694339622641511</v>
      </c>
      <c r="AE32" s="37">
        <f t="shared" ref="AE32:AE38" si="35">AD32-AC32</f>
        <v>1.5433962264151113E-3</v>
      </c>
      <c r="AF32" s="37">
        <f t="shared" ref="AF32:AF38" si="36">AD32-AB32</f>
        <v>7.7599567232931599E-3</v>
      </c>
      <c r="AG32" s="37">
        <f t="shared" ref="AG32:AG38" si="37">AE32-AF32</f>
        <v>-6.2165604968780486E-3</v>
      </c>
      <c r="AH32" s="38">
        <f t="shared" ref="AH32:AH38" si="38">AD32/AC32</f>
        <v>1.0075141004207162</v>
      </c>
    </row>
    <row r="33" spans="1:35">
      <c r="A33" s="8">
        <f t="shared" si="19"/>
        <v>29</v>
      </c>
      <c r="B33" s="27" t="s">
        <v>118</v>
      </c>
      <c r="C33" s="22">
        <v>40497</v>
      </c>
      <c r="D33" s="22">
        <v>40558</v>
      </c>
      <c r="E33" s="27" t="s">
        <v>119</v>
      </c>
      <c r="F33" s="36">
        <v>5.2</v>
      </c>
      <c r="G33" s="27">
        <v>23660</v>
      </c>
      <c r="H33" s="36">
        <v>49</v>
      </c>
      <c r="I33" s="22">
        <v>41527</v>
      </c>
      <c r="J33" s="36">
        <v>4.5</v>
      </c>
      <c r="K33" s="13">
        <f t="shared" si="20"/>
        <v>2.8219178082191783</v>
      </c>
      <c r="L33" s="13">
        <f t="shared" si="21"/>
        <v>2.6547945205479451</v>
      </c>
      <c r="M33" s="13">
        <f>VLOOKUP(E33,'Aging Factor'!$A$145:$H$242,5,1)</f>
        <v>1.2332202922184055</v>
      </c>
      <c r="N33" s="13">
        <f>VLOOKUP(E33,'Aging Factor'!$A$145:$H$242,8,1)</f>
        <v>1.2264598449964383</v>
      </c>
      <c r="O33" s="13">
        <f t="shared" si="22"/>
        <v>14.665323521676969</v>
      </c>
      <c r="P33" s="13">
        <f>K33*$B$50*M33*(G33/K33)/12500*'Degradation Model'!$B$26/F33</f>
        <v>4.198982146461808</v>
      </c>
      <c r="Q33" s="13">
        <f t="shared" si="23"/>
        <v>4.7583857898837989</v>
      </c>
      <c r="R33" s="13">
        <f t="shared" si="24"/>
        <v>2.7462906884392333</v>
      </c>
      <c r="S33" s="13">
        <f t="shared" si="25"/>
        <v>18.864305668138776</v>
      </c>
      <c r="T33" s="13">
        <f t="shared" si="26"/>
        <v>77.83</v>
      </c>
      <c r="U33" s="14">
        <f t="shared" si="27"/>
        <v>218.70230000000001</v>
      </c>
      <c r="V33" s="15">
        <f t="shared" si="28"/>
        <v>64.258220640569391</v>
      </c>
      <c r="W33" s="14">
        <f t="shared" si="29"/>
        <v>180.56560000000002</v>
      </c>
      <c r="X33" s="13">
        <v>4.3</v>
      </c>
      <c r="Y33" s="26">
        <f t="shared" si="30"/>
        <v>38322.363261093909</v>
      </c>
      <c r="Z33" s="13">
        <f t="shared" si="31"/>
        <v>1.6452054794520548</v>
      </c>
      <c r="AA33" s="29" t="str">
        <f t="shared" si="32"/>
        <v>Yes</v>
      </c>
      <c r="AB33" s="23">
        <f t="shared" si="33"/>
        <v>0.2161059635657801</v>
      </c>
      <c r="AC33" s="23">
        <v>0.22170000000000001</v>
      </c>
      <c r="AD33" s="37">
        <f t="shared" si="34"/>
        <v>0.26037735849056604</v>
      </c>
      <c r="AE33" s="37">
        <f t="shared" si="35"/>
        <v>3.8677358490566027E-2</v>
      </c>
      <c r="AF33" s="37">
        <f t="shared" si="36"/>
        <v>4.4271394924785934E-2</v>
      </c>
      <c r="AG33" s="37">
        <f t="shared" si="37"/>
        <v>-5.5940364342199067E-3</v>
      </c>
      <c r="AH33" s="38">
        <f t="shared" si="38"/>
        <v>1.1744580897183854</v>
      </c>
    </row>
    <row r="34" spans="1:35">
      <c r="A34" s="8">
        <f t="shared" si="19"/>
        <v>30</v>
      </c>
      <c r="B34" s="27" t="s">
        <v>120</v>
      </c>
      <c r="C34" s="22">
        <v>40617</v>
      </c>
      <c r="D34" s="22">
        <v>40663</v>
      </c>
      <c r="E34" s="27" t="s">
        <v>101</v>
      </c>
      <c r="F34" s="36">
        <v>4.2</v>
      </c>
      <c r="G34" s="27">
        <v>36563</v>
      </c>
      <c r="H34" s="36">
        <v>54.22</v>
      </c>
      <c r="I34" s="22">
        <v>41536</v>
      </c>
      <c r="J34" s="36">
        <v>5</v>
      </c>
      <c r="K34" s="13">
        <f t="shared" si="20"/>
        <v>2.5178082191780824</v>
      </c>
      <c r="L34" s="13">
        <f t="shared" si="21"/>
        <v>2.3917808219178083</v>
      </c>
      <c r="M34" s="13">
        <f>VLOOKUP(E34,'Aging Factor'!$A$145:$H$242,5,1)</f>
        <v>0.84223087641294281</v>
      </c>
      <c r="N34" s="13">
        <f>VLOOKUP(E34,'Aging Factor'!$A$145:$H$242,8,1)</f>
        <v>1.1854350885855089</v>
      </c>
      <c r="O34" s="13">
        <f t="shared" si="22"/>
        <v>9.6926679492594907</v>
      </c>
      <c r="P34" s="13">
        <f>K34*$B$50*M34*(G34/K34)/12500*'Degradation Model'!$B$26/F34</f>
        <v>5.4867561603268458</v>
      </c>
      <c r="Q34" s="13">
        <f t="shared" si="23"/>
        <v>5.9867621547132588</v>
      </c>
      <c r="R34" s="13">
        <f t="shared" si="24"/>
        <v>2.0105698960272518</v>
      </c>
      <c r="S34" s="13">
        <f t="shared" si="25"/>
        <v>15.179424109586336</v>
      </c>
      <c r="T34" s="13">
        <f t="shared" si="26"/>
        <v>82.309999999999988</v>
      </c>
      <c r="U34" s="14">
        <f t="shared" si="27"/>
        <v>231.29109999999997</v>
      </c>
      <c r="V34" s="15">
        <f t="shared" si="28"/>
        <v>67.957010676156585</v>
      </c>
      <c r="W34" s="14">
        <f t="shared" si="29"/>
        <v>190.95919999999998</v>
      </c>
      <c r="X34" s="13">
        <v>5</v>
      </c>
      <c r="Y34" s="26">
        <f t="shared" si="30"/>
        <v>76434.679266895764</v>
      </c>
      <c r="Z34" s="13">
        <f t="shared" si="31"/>
        <v>2.6082191780821917</v>
      </c>
      <c r="AA34" s="29" t="str">
        <f t="shared" si="32"/>
        <v>No</v>
      </c>
      <c r="AB34" s="23">
        <f t="shared" si="33"/>
        <v>0.17189994005613587</v>
      </c>
      <c r="AC34" s="23">
        <v>0.1769</v>
      </c>
      <c r="AD34" s="37">
        <f t="shared" si="34"/>
        <v>0.18158490566037738</v>
      </c>
      <c r="AE34" s="37">
        <f t="shared" si="35"/>
        <v>4.6849056603773809E-3</v>
      </c>
      <c r="AF34" s="37">
        <f t="shared" si="36"/>
        <v>9.6849656042415078E-3</v>
      </c>
      <c r="AG34" s="37">
        <f t="shared" si="37"/>
        <v>-5.0000599438641269E-3</v>
      </c>
      <c r="AH34" s="38">
        <f t="shared" si="38"/>
        <v>1.0264833559094255</v>
      </c>
    </row>
    <row r="35" spans="1:35">
      <c r="A35" s="8">
        <f t="shared" si="19"/>
        <v>31</v>
      </c>
      <c r="B35" s="27" t="s">
        <v>121</v>
      </c>
      <c r="C35" s="22">
        <v>40617</v>
      </c>
      <c r="D35" s="22">
        <v>40683</v>
      </c>
      <c r="E35" s="27" t="s">
        <v>122</v>
      </c>
      <c r="F35" s="36">
        <v>4.7</v>
      </c>
      <c r="G35" s="27">
        <v>24543</v>
      </c>
      <c r="H35" s="36">
        <v>49.35</v>
      </c>
      <c r="I35" s="22">
        <v>41537</v>
      </c>
      <c r="J35" s="36">
        <v>5</v>
      </c>
      <c r="K35" s="13">
        <f t="shared" si="20"/>
        <v>2.5205479452054793</v>
      </c>
      <c r="L35" s="13">
        <f t="shared" si="21"/>
        <v>2.3397260273972602</v>
      </c>
      <c r="M35" s="13">
        <f>VLOOKUP(E35,'Aging Factor'!$A$145:$H$242,5,1)</f>
        <v>1.2315133785605759</v>
      </c>
      <c r="N35" s="13">
        <f>VLOOKUP(E35,'Aging Factor'!$A$145:$H$242,8,1)</f>
        <v>1.1588504872049772</v>
      </c>
      <c r="O35" s="13">
        <f t="shared" si="22"/>
        <v>13.961214346972673</v>
      </c>
      <c r="P35" s="13">
        <f>K35*$B$50*M35*(G35/K35)/12500*'Degradation Model'!$B$26/F35</f>
        <v>4.8123908540809781</v>
      </c>
      <c r="Q35" s="13">
        <f t="shared" si="23"/>
        <v>5.3586454153264214</v>
      </c>
      <c r="R35" s="13">
        <f t="shared" si="24"/>
        <v>2.1301402377009042</v>
      </c>
      <c r="S35" s="13">
        <f t="shared" si="25"/>
        <v>18.773605201053652</v>
      </c>
      <c r="T35" s="13">
        <f t="shared" si="26"/>
        <v>78.55</v>
      </c>
      <c r="U35" s="14">
        <f t="shared" si="27"/>
        <v>220.72549999999998</v>
      </c>
      <c r="V35" s="15">
        <f t="shared" si="28"/>
        <v>64.852669039145908</v>
      </c>
      <c r="W35" s="14">
        <f t="shared" si="29"/>
        <v>182.23599999999999</v>
      </c>
      <c r="X35" s="13">
        <v>3.9</v>
      </c>
      <c r="Y35" s="26">
        <f t="shared" si="30"/>
        <v>40909.78981264637</v>
      </c>
      <c r="Z35" s="13">
        <f t="shared" si="31"/>
        <v>1.5602739726027397</v>
      </c>
      <c r="AA35" s="29" t="str">
        <f t="shared" si="32"/>
        <v>Yes</v>
      </c>
      <c r="AB35" s="23">
        <f t="shared" si="33"/>
        <v>0.20903745438754556</v>
      </c>
      <c r="AC35" s="23">
        <v>0.2145</v>
      </c>
      <c r="AD35" s="37">
        <f t="shared" si="34"/>
        <v>0.2550943396226415</v>
      </c>
      <c r="AE35" s="37">
        <f t="shared" si="35"/>
        <v>4.0594339622641501E-2</v>
      </c>
      <c r="AF35" s="37">
        <f t="shared" si="36"/>
        <v>4.6056885235095935E-2</v>
      </c>
      <c r="AG35" s="37">
        <f t="shared" si="37"/>
        <v>-5.4625456124544336E-3</v>
      </c>
      <c r="AH35" s="38">
        <f t="shared" si="38"/>
        <v>1.1892510005717551</v>
      </c>
    </row>
    <row r="36" spans="1:35">
      <c r="A36" s="8">
        <f t="shared" si="19"/>
        <v>32</v>
      </c>
      <c r="B36" s="27" t="s">
        <v>123</v>
      </c>
      <c r="C36" s="22">
        <v>40589</v>
      </c>
      <c r="D36" s="22">
        <v>40632</v>
      </c>
      <c r="E36" s="27" t="s">
        <v>124</v>
      </c>
      <c r="F36" s="36">
        <v>4.2</v>
      </c>
      <c r="G36" s="27">
        <v>18770</v>
      </c>
      <c r="H36" s="36">
        <v>57.45</v>
      </c>
      <c r="I36" s="22">
        <v>41537</v>
      </c>
      <c r="J36" s="36">
        <v>1</v>
      </c>
      <c r="K36" s="13">
        <f t="shared" si="20"/>
        <v>2.5972602739726027</v>
      </c>
      <c r="L36" s="13">
        <f t="shared" si="21"/>
        <v>2.4794520547945207</v>
      </c>
      <c r="M36" s="13">
        <f>VLOOKUP(E36,'Aging Factor'!$A$145:$H$242,5,1)</f>
        <v>0.87881642283828398</v>
      </c>
      <c r="N36" s="13">
        <f>VLOOKUP(E36,'Aging Factor'!$A$145:$H$242,8,1)</f>
        <v>1.1854350885855089</v>
      </c>
      <c r="O36" s="13">
        <f t="shared" si="22"/>
        <v>10.217653684357522</v>
      </c>
      <c r="P36" s="13">
        <f>K36*$B$50*M36*(G36/K36)/12500*'Degradation Model'!$B$26/F36</f>
        <v>2.9390374198141362</v>
      </c>
      <c r="Q36" s="13">
        <f t="shared" si="23"/>
        <v>3.1338160041575858</v>
      </c>
      <c r="R36" s="13">
        <f t="shared" si="24"/>
        <v>0.34853031148489272</v>
      </c>
      <c r="S36" s="13">
        <f t="shared" si="25"/>
        <v>13.156691104171658</v>
      </c>
      <c r="T36" s="13">
        <f t="shared" si="26"/>
        <v>86.3</v>
      </c>
      <c r="U36" s="14">
        <f t="shared" si="27"/>
        <v>242.50299999999999</v>
      </c>
      <c r="V36" s="15">
        <f t="shared" si="28"/>
        <v>71.251245551601414</v>
      </c>
      <c r="W36" s="14">
        <f t="shared" si="29"/>
        <v>200.21599999999998</v>
      </c>
      <c r="X36" s="13">
        <v>8.8000000000000007</v>
      </c>
      <c r="Y36" s="26">
        <f t="shared" si="30"/>
        <v>66617.944751381219</v>
      </c>
      <c r="Z36" s="13">
        <f t="shared" si="31"/>
        <v>6.3205479452054796</v>
      </c>
      <c r="AA36" s="29" t="str">
        <f t="shared" si="32"/>
        <v>No</v>
      </c>
      <c r="AB36" s="23">
        <f t="shared" si="33"/>
        <v>0.13505221415656551</v>
      </c>
      <c r="AC36" s="23">
        <v>0.13700000000000001</v>
      </c>
      <c r="AD36" s="37">
        <f t="shared" si="34"/>
        <v>0.13283018867924523</v>
      </c>
      <c r="AE36" s="37">
        <f t="shared" si="35"/>
        <v>-4.1698113207547793E-3</v>
      </c>
      <c r="AF36" s="37">
        <f t="shared" si="36"/>
        <v>-2.222025477320283E-3</v>
      </c>
      <c r="AG36" s="37">
        <f t="shared" si="37"/>
        <v>-1.9477858434344963E-3</v>
      </c>
      <c r="AH36" s="38">
        <f t="shared" si="38"/>
        <v>0.96956342101638848</v>
      </c>
    </row>
    <row r="37" spans="1:35">
      <c r="A37" s="8">
        <f t="shared" si="19"/>
        <v>33</v>
      </c>
      <c r="B37" s="27" t="s">
        <v>125</v>
      </c>
      <c r="C37" s="22">
        <v>40983</v>
      </c>
      <c r="D37" s="22">
        <v>41034</v>
      </c>
      <c r="E37" s="27" t="s">
        <v>92</v>
      </c>
      <c r="F37" s="36">
        <v>4.3</v>
      </c>
      <c r="G37" s="27">
        <v>15600</v>
      </c>
      <c r="H37" s="36">
        <v>62.78</v>
      </c>
      <c r="I37" s="22">
        <v>41531</v>
      </c>
      <c r="J37" s="36">
        <v>0.5</v>
      </c>
      <c r="K37" s="13">
        <f t="shared" si="20"/>
        <v>1.5013698630136987</v>
      </c>
      <c r="L37" s="13">
        <f t="shared" si="21"/>
        <v>1.3616438356164384</v>
      </c>
      <c r="M37" s="13">
        <f>VLOOKUP(E37,'Aging Factor'!$A$145:$H$242,5,1)</f>
        <v>0.71790831336610927</v>
      </c>
      <c r="N37" s="13">
        <f>VLOOKUP(E37,'Aging Factor'!$A$145:$H$242,8,1)</f>
        <v>1.1074564754411067</v>
      </c>
      <c r="O37" s="13">
        <f t="shared" si="22"/>
        <v>6.8763270037724435</v>
      </c>
      <c r="P37" s="13">
        <f>K37*$B$50*M37*(G37/K37)/12500*'Degradation Model'!$B$26/F37</f>
        <v>1.9490235844711163</v>
      </c>
      <c r="Q37" s="13">
        <f t="shared" si="23"/>
        <v>1.9959343484600747</v>
      </c>
      <c r="R37" s="13">
        <f t="shared" si="24"/>
        <v>6.7738647767482188E-2</v>
      </c>
      <c r="S37" s="13">
        <f t="shared" si="25"/>
        <v>8.825350588243559</v>
      </c>
      <c r="T37" s="13">
        <f t="shared" si="26"/>
        <v>91.06</v>
      </c>
      <c r="U37" s="14">
        <f t="shared" si="27"/>
        <v>255.87860000000001</v>
      </c>
      <c r="V37" s="15">
        <f t="shared" si="28"/>
        <v>75.181209964412815</v>
      </c>
      <c r="W37" s="14">
        <f t="shared" si="29"/>
        <v>211.25920000000002</v>
      </c>
      <c r="X37" s="13">
        <v>9.4</v>
      </c>
      <c r="Y37" s="26">
        <f t="shared" si="30"/>
        <v>107693.36016096579</v>
      </c>
      <c r="Z37" s="13">
        <f t="shared" si="31"/>
        <v>8.0383561643835613</v>
      </c>
      <c r="AA37" s="29" t="str">
        <f t="shared" si="32"/>
        <v>No</v>
      </c>
      <c r="AB37" s="23">
        <f t="shared" si="33"/>
        <v>8.8930892360110411E-2</v>
      </c>
      <c r="AC37" s="23">
        <v>8.9399999999999993E-2</v>
      </c>
      <c r="AD37" s="37">
        <f t="shared" si="34"/>
        <v>5.2377358490566017E-2</v>
      </c>
      <c r="AE37" s="37">
        <f t="shared" si="35"/>
        <v>-3.7022641509433976E-2</v>
      </c>
      <c r="AF37" s="37">
        <f t="shared" si="36"/>
        <v>-3.6553533869544394E-2</v>
      </c>
      <c r="AG37" s="37">
        <f t="shared" si="37"/>
        <v>-4.6910763988958215E-4</v>
      </c>
      <c r="AH37" s="38">
        <f t="shared" si="38"/>
        <v>0.58587649318306512</v>
      </c>
    </row>
    <row r="38" spans="1:35">
      <c r="A38" s="8">
        <f t="shared" si="19"/>
        <v>34</v>
      </c>
      <c r="B38" s="27" t="s">
        <v>126</v>
      </c>
      <c r="C38" s="22">
        <v>40709</v>
      </c>
      <c r="D38" s="22">
        <v>41136</v>
      </c>
      <c r="E38" s="27" t="s">
        <v>127</v>
      </c>
      <c r="F38" s="36">
        <v>4.5</v>
      </c>
      <c r="G38" s="27">
        <v>8761</v>
      </c>
      <c r="H38" s="36">
        <v>58</v>
      </c>
      <c r="I38" s="22">
        <v>41528</v>
      </c>
      <c r="J38" s="36">
        <v>3.5</v>
      </c>
      <c r="K38" s="13">
        <f t="shared" si="20"/>
        <v>2.2438356164383562</v>
      </c>
      <c r="L38" s="13">
        <f t="shared" si="21"/>
        <v>1.0739726027397261</v>
      </c>
      <c r="M38" s="13">
        <f>VLOOKUP(E38,'Aging Factor'!$A$145:$H$242,5,1)</f>
        <v>0.68062709810288602</v>
      </c>
      <c r="N38" s="13">
        <f>VLOOKUP(E38,'Aging Factor'!$A$145:$H$242,8,1)</f>
        <v>1</v>
      </c>
      <c r="O38" s="13">
        <f t="shared" si="22"/>
        <v>7.596597089776167</v>
      </c>
      <c r="P38" s="13">
        <f>$B$50*M38*(G38/12500)*('Degradation Model'!$B$26/F38)</f>
        <v>0.99161336496754782</v>
      </c>
      <c r="Q38" s="13">
        <f t="shared" si="23"/>
        <v>1.7534029102238327</v>
      </c>
      <c r="R38" s="13">
        <f t="shared" si="24"/>
        <v>0</v>
      </c>
      <c r="S38" s="13">
        <f t="shared" si="25"/>
        <v>8.5882104547437148</v>
      </c>
      <c r="T38" s="13">
        <f t="shared" si="26"/>
        <v>90.649999999999991</v>
      </c>
      <c r="U38" s="14">
        <f t="shared" si="27"/>
        <v>254.72649999999999</v>
      </c>
      <c r="V38" s="15">
        <f t="shared" si="28"/>
        <v>74.842704626334523</v>
      </c>
      <c r="W38" s="14">
        <f t="shared" si="29"/>
        <v>210.30799999999999</v>
      </c>
      <c r="X38" s="13">
        <v>13.6</v>
      </c>
      <c r="Y38" s="26">
        <f t="shared" si="30"/>
        <v>110942.86734693876</v>
      </c>
      <c r="Z38" s="13">
        <f t="shared" si="31"/>
        <v>12.526027397260274</v>
      </c>
      <c r="AA38" s="29" t="str">
        <f t="shared" si="32"/>
        <v>No</v>
      </c>
      <c r="AB38" s="23">
        <f t="shared" si="33"/>
        <v>8.5882104547437152E-2</v>
      </c>
      <c r="AC38" s="23">
        <v>9.35E-2</v>
      </c>
      <c r="AD38" s="37">
        <f t="shared" si="34"/>
        <v>0.12452830188679245</v>
      </c>
      <c r="AE38" s="37">
        <f t="shared" si="35"/>
        <v>3.1028301886792453E-2</v>
      </c>
      <c r="AF38" s="37">
        <f t="shared" si="36"/>
        <v>3.8646197339355301E-2</v>
      </c>
      <c r="AG38" s="37">
        <f t="shared" si="37"/>
        <v>-7.6178954525628478E-3</v>
      </c>
      <c r="AH38" s="38">
        <f t="shared" si="38"/>
        <v>1.3318534961154274</v>
      </c>
      <c r="AI38" s="28" t="s">
        <v>128</v>
      </c>
    </row>
    <row r="39" spans="1:35">
      <c r="A39" s="8">
        <f t="shared" si="19"/>
        <v>35</v>
      </c>
    </row>
    <row r="40" spans="1:35">
      <c r="A40" s="8">
        <f t="shared" si="19"/>
        <v>36</v>
      </c>
      <c r="B40" s="7" t="s">
        <v>129</v>
      </c>
    </row>
    <row r="41" spans="1:35">
      <c r="A41" s="8">
        <f t="shared" si="19"/>
        <v>37</v>
      </c>
    </row>
    <row r="42" spans="1:35">
      <c r="A42" s="8">
        <f t="shared" si="19"/>
        <v>38</v>
      </c>
      <c r="B42" s="27" t="s">
        <v>130</v>
      </c>
      <c r="C42" s="22">
        <v>41334</v>
      </c>
      <c r="D42" s="22">
        <v>41424</v>
      </c>
      <c r="E42" s="27" t="s">
        <v>131</v>
      </c>
      <c r="F42" s="36">
        <v>4.4000000000000004</v>
      </c>
      <c r="G42" s="27">
        <v>3597</v>
      </c>
      <c r="H42" s="36">
        <v>60.42</v>
      </c>
      <c r="I42" s="22">
        <v>41521</v>
      </c>
      <c r="J42" s="36">
        <v>1</v>
      </c>
      <c r="K42" s="13">
        <f>(I42-C42)/365</f>
        <v>0.51232876712328768</v>
      </c>
      <c r="L42" s="13">
        <f>(I42-D42)/365</f>
        <v>0.26575342465753427</v>
      </c>
      <c r="M42" s="13">
        <f>VLOOKUP(E42,'Aging Factor'!$A$145:$H$242,5,1)</f>
        <v>0.90048163002661796</v>
      </c>
      <c r="N42" s="13">
        <f>VLOOKUP(E42,'Aging Factor'!$A$145:$H$242,8,1)</f>
        <v>1.1588504872049772</v>
      </c>
      <c r="O42" s="13">
        <f>(M42*$B$49*SQRT(K42))-((0.32989795*K42)-1.302)</f>
        <v>5.5803031733936326</v>
      </c>
      <c r="P42" s="13">
        <f>K42*$B$50*M42*(G42/K42)/12500*'Degradation Model'!$B$26/F42</f>
        <v>0.5508769337611974</v>
      </c>
      <c r="Q42" s="13">
        <f>P42-(100*AG42)</f>
        <v>0.550562405583081</v>
      </c>
      <c r="R42" s="13">
        <f>((N42-1)*S42*J42/7)</f>
        <v>0.13913442102328699</v>
      </c>
      <c r="S42" s="13">
        <f>O42+P42</f>
        <v>6.1311801071548295</v>
      </c>
      <c r="T42" s="13">
        <f>(1-AC42)*100</f>
        <v>93.73</v>
      </c>
      <c r="U42" s="14">
        <f>281*T42/100</f>
        <v>263.38130000000001</v>
      </c>
      <c r="V42" s="15">
        <f>W42/281*100</f>
        <v>77.385622775800712</v>
      </c>
      <c r="W42" s="14">
        <f>T42*232/100</f>
        <v>217.45359999999999</v>
      </c>
      <c r="X42" s="13">
        <v>5.8</v>
      </c>
      <c r="Y42" s="26">
        <f>G42/((I42-D42)/365)*X42</f>
        <v>78503.597938144318</v>
      </c>
      <c r="Z42" s="13">
        <f>X42-L42</f>
        <v>5.5342465753424657</v>
      </c>
      <c r="AA42" s="29" t="str">
        <f>IF(AND(X42&lt;=5,Y42&lt;60000),"Yes","No")</f>
        <v>No</v>
      </c>
      <c r="AB42" s="23">
        <f>(S42+R42)/100</f>
        <v>6.270314528178117E-2</v>
      </c>
      <c r="AC42" s="23">
        <v>6.2700000000000006E-2</v>
      </c>
      <c r="AD42" s="37">
        <f>($B$75-H42)/$B$75</f>
        <v>8.7999999999999981E-2</v>
      </c>
      <c r="AE42" s="37">
        <f>AD42-AC42</f>
        <v>2.5299999999999975E-2</v>
      </c>
      <c r="AF42" s="37">
        <f>AD42-AB42</f>
        <v>2.5296854718218811E-2</v>
      </c>
      <c r="AG42" s="37">
        <f>AE42-AF42</f>
        <v>3.1452817811639111E-6</v>
      </c>
      <c r="AH42" s="38">
        <f>AD42/AC42</f>
        <v>1.403508771929824</v>
      </c>
      <c r="AI42" s="28" t="s">
        <v>132</v>
      </c>
    </row>
    <row r="43" spans="1:35">
      <c r="A43" s="8">
        <f t="shared" si="19"/>
        <v>39</v>
      </c>
      <c r="B43" s="27" t="s">
        <v>133</v>
      </c>
      <c r="C43" s="22">
        <v>41348</v>
      </c>
      <c r="D43" s="22">
        <v>41364</v>
      </c>
      <c r="E43" s="27" t="s">
        <v>134</v>
      </c>
      <c r="F43" s="36">
        <v>4.3</v>
      </c>
      <c r="G43" s="27">
        <v>6415</v>
      </c>
      <c r="H43" s="36">
        <v>65.37</v>
      </c>
      <c r="I43" s="22">
        <v>41523</v>
      </c>
      <c r="J43" s="36">
        <v>2</v>
      </c>
      <c r="K43" s="13">
        <f>(I43-C43)/365</f>
        <v>0.47945205479452052</v>
      </c>
      <c r="L43" s="13">
        <f>(I43-D43)/365</f>
        <v>0.43561643835616437</v>
      </c>
      <c r="M43" s="13">
        <f>VLOOKUP(E43,'Aging Factor'!$A$145:$H$242,5,1)</f>
        <v>0.75</v>
      </c>
      <c r="N43" s="13">
        <f>VLOOKUP(E43,'Aging Factor'!$A$145:$H$242,8,1)</f>
        <v>1.1328620728593721</v>
      </c>
      <c r="O43" s="13">
        <f>(M43*$B$49*SQRT(K43))-((0.32989795*K43)-1.302)</f>
        <v>4.7271279074146904</v>
      </c>
      <c r="P43" s="13">
        <f>K43*$B$50*M43*(G43/K43)/12500*'Degradation Model'!$B$26/F43</f>
        <v>0.83730066794796076</v>
      </c>
      <c r="Q43" s="13">
        <f>P43-(100*AG43)</f>
        <v>0.84164308835656543</v>
      </c>
      <c r="R43" s="13">
        <f>((N43-1)*S43*J43/7)</f>
        <v>0.21122900422874422</v>
      </c>
      <c r="S43" s="13">
        <f>O43+P43</f>
        <v>5.5644285753626512</v>
      </c>
      <c r="T43" s="13">
        <f>(1-AC43)*100</f>
        <v>94.22</v>
      </c>
      <c r="U43" s="14">
        <f>281*T43/100</f>
        <v>264.75819999999999</v>
      </c>
      <c r="V43" s="15">
        <f>W43/281*100</f>
        <v>77.790177935943063</v>
      </c>
      <c r="W43" s="14">
        <f>T43*232/100</f>
        <v>218.59040000000002</v>
      </c>
      <c r="X43" s="13">
        <v>7</v>
      </c>
      <c r="Y43" s="26">
        <f>G43/((I43-D43)/365)*X43</f>
        <v>103083.80503144654</v>
      </c>
      <c r="Z43" s="13">
        <f>X43-L43</f>
        <v>6.5643835616438357</v>
      </c>
      <c r="AA43" s="29" t="str">
        <f>IF(AND(X43&lt;=5,Y43&lt;60000),"Yes","No")</f>
        <v>No</v>
      </c>
      <c r="AB43" s="23">
        <f>(S43+R43)/100</f>
        <v>5.775657579591395E-2</v>
      </c>
      <c r="AC43" s="23">
        <v>5.7799999999999997E-2</v>
      </c>
      <c r="AD43" s="37">
        <f>($B$75-H43)/$B$75</f>
        <v>1.328301886792446E-2</v>
      </c>
      <c r="AE43" s="37">
        <f>AD43-AC43</f>
        <v>-4.4516981132075535E-2</v>
      </c>
      <c r="AF43" s="37">
        <f>AD43-AB43</f>
        <v>-4.4473556927989488E-2</v>
      </c>
      <c r="AG43" s="37">
        <f>AE43-AF43</f>
        <v>-4.3424204086046914E-5</v>
      </c>
      <c r="AH43" s="38">
        <f>AD43/AC43</f>
        <v>0.22981001501599413</v>
      </c>
      <c r="AI43" s="28" t="s">
        <v>132</v>
      </c>
    </row>
    <row r="44" spans="1:35">
      <c r="A44" s="8">
        <f t="shared" si="19"/>
        <v>40</v>
      </c>
      <c r="B44" s="27"/>
      <c r="C44" s="22"/>
      <c r="D44" s="22"/>
      <c r="E44" s="27"/>
      <c r="F44" s="36"/>
      <c r="G44" s="27"/>
      <c r="H44" s="36"/>
      <c r="I44" s="22"/>
      <c r="J44" s="36"/>
      <c r="K44" s="13"/>
      <c r="L44" s="13"/>
      <c r="M44" s="13"/>
      <c r="N44" s="13"/>
      <c r="O44" s="13"/>
      <c r="P44" s="13"/>
      <c r="Q44" s="13"/>
      <c r="R44" s="13"/>
      <c r="S44" s="13"/>
      <c r="T44" s="13">
        <f>(1-AC44)*100</f>
        <v>100</v>
      </c>
      <c r="U44" s="14"/>
      <c r="V44" s="15"/>
      <c r="W44" s="14"/>
      <c r="X44" s="13"/>
      <c r="Y44" s="26"/>
      <c r="Z44" s="26"/>
      <c r="AB44" s="23"/>
      <c r="AC44" s="23"/>
      <c r="AD44" s="37"/>
      <c r="AE44" s="35"/>
      <c r="AF44" s="35"/>
      <c r="AG44" s="35"/>
      <c r="AH44" s="38"/>
      <c r="AI44" s="28"/>
    </row>
    <row r="45" spans="1:35">
      <c r="A45" s="8">
        <f t="shared" si="19"/>
        <v>41</v>
      </c>
      <c r="B45" s="27"/>
      <c r="C45" s="22"/>
      <c r="D45" s="22"/>
      <c r="E45" s="27"/>
      <c r="F45" s="36"/>
      <c r="G45" s="27"/>
      <c r="H45" s="36"/>
      <c r="I45" s="22"/>
      <c r="J45" s="36"/>
      <c r="K45" s="13"/>
      <c r="L45" s="13"/>
      <c r="M45" s="13"/>
      <c r="N45" s="13"/>
      <c r="O45" s="13"/>
      <c r="P45" s="13"/>
      <c r="Q45" s="13"/>
      <c r="R45" s="13"/>
      <c r="S45" s="13"/>
      <c r="T45" s="13">
        <f>(1-AC45)*100</f>
        <v>100</v>
      </c>
      <c r="U45" s="14"/>
      <c r="V45" s="15"/>
      <c r="W45" s="14"/>
      <c r="X45" s="13"/>
      <c r="Y45" s="26"/>
      <c r="Z45" s="26"/>
      <c r="AB45" s="23"/>
      <c r="AC45" s="23"/>
      <c r="AD45" s="37"/>
      <c r="AE45" s="35"/>
      <c r="AF45" s="35"/>
      <c r="AG45" s="35"/>
      <c r="AH45" s="38"/>
      <c r="AI45" s="28"/>
    </row>
    <row r="46" spans="1:35">
      <c r="A46" s="8">
        <f t="shared" si="19"/>
        <v>42</v>
      </c>
    </row>
    <row r="47" spans="1:35">
      <c r="W47" s="7" t="s">
        <v>113</v>
      </c>
      <c r="X47" s="13">
        <f>AVERAGE(X32,X33,X34,X36,X37,X38,X42,X43)</f>
        <v>7.3125</v>
      </c>
      <c r="AD47" s="7" t="s">
        <v>135</v>
      </c>
      <c r="AE47" s="23">
        <f>MAX(AE5:AE25)</f>
        <v>2.4717694107441568E-2</v>
      </c>
    </row>
    <row r="48" spans="1:35">
      <c r="AD48" s="7" t="s">
        <v>136</v>
      </c>
      <c r="AE48" s="23">
        <f>MIN(AE5:AE25)</f>
        <v>-2.8703185314950211E-2</v>
      </c>
    </row>
    <row r="49" spans="1:31">
      <c r="A49" s="7" t="s">
        <v>137</v>
      </c>
      <c r="B49" s="27">
        <v>6.9</v>
      </c>
      <c r="AD49" s="7"/>
    </row>
    <row r="50" spans="1:31">
      <c r="A50" s="7" t="s">
        <v>138</v>
      </c>
      <c r="B50" s="27">
        <v>2</v>
      </c>
      <c r="AD50" s="7" t="s">
        <v>139</v>
      </c>
      <c r="AE50" s="23">
        <f>AE47-AE48</f>
        <v>5.3420879422391779E-2</v>
      </c>
    </row>
    <row r="53" spans="1:31">
      <c r="A53" s="7" t="s">
        <v>140</v>
      </c>
      <c r="B53" s="40">
        <v>10</v>
      </c>
      <c r="C53" s="34" t="str">
        <f>VLOOKUP(B53,A5:J46,2,1)</f>
        <v>Stoaty</v>
      </c>
    </row>
    <row r="55" spans="1:31">
      <c r="C55" s="1"/>
    </row>
    <row r="56" spans="1:31">
      <c r="B56" s="1"/>
      <c r="C56" s="1"/>
      <c r="E56" s="3" t="s">
        <v>1</v>
      </c>
      <c r="F56" s="4"/>
      <c r="G56" s="4"/>
    </row>
    <row r="57" spans="1:31">
      <c r="Q57" s="5">
        <f>VLOOKUP(F67,'End of Life'!H269:I518,2,1)</f>
        <v>6.7999999999999776</v>
      </c>
    </row>
    <row r="58" spans="1:31">
      <c r="C58" s="6"/>
      <c r="E58" s="7"/>
      <c r="F58" s="7"/>
      <c r="G58" s="7"/>
      <c r="H58" s="7"/>
      <c r="I58" s="8" t="s">
        <v>2</v>
      </c>
      <c r="J58" s="8" t="s">
        <v>3</v>
      </c>
      <c r="K58" s="8" t="s">
        <v>4</v>
      </c>
      <c r="L58" s="8" t="s">
        <v>5</v>
      </c>
      <c r="M58" s="8" t="s">
        <v>6</v>
      </c>
      <c r="N58" s="8" t="s">
        <v>7</v>
      </c>
      <c r="O58" s="8" t="s">
        <v>8</v>
      </c>
      <c r="P58" s="8" t="s">
        <v>8</v>
      </c>
    </row>
    <row r="59" spans="1:31">
      <c r="A59" s="10" t="s">
        <v>16</v>
      </c>
      <c r="B59" s="41" t="str">
        <f>VLOOKUP(B53,A5:L46,5,1)</f>
        <v>Van Nuys, CA</v>
      </c>
      <c r="C59" s="1"/>
      <c r="E59" s="7"/>
      <c r="F59" s="7"/>
      <c r="G59" s="8" t="s">
        <v>9</v>
      </c>
      <c r="H59" s="8" t="s">
        <v>10</v>
      </c>
      <c r="I59" s="8" t="s">
        <v>10</v>
      </c>
      <c r="J59" s="8" t="s">
        <v>11</v>
      </c>
      <c r="K59" s="8" t="s">
        <v>10</v>
      </c>
      <c r="L59" s="8" t="s">
        <v>12</v>
      </c>
      <c r="M59" s="8" t="s">
        <v>13</v>
      </c>
      <c r="N59" s="8" t="s">
        <v>14</v>
      </c>
      <c r="O59" s="8" t="s">
        <v>15</v>
      </c>
      <c r="P59" s="8" t="s">
        <v>14</v>
      </c>
    </row>
    <row r="60" spans="1:31">
      <c r="A60" s="10"/>
      <c r="B60" s="10"/>
      <c r="C60" s="1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31">
      <c r="A61" s="10" t="s">
        <v>19</v>
      </c>
      <c r="B61" s="42">
        <f>VLOOKUP(B53,A5:L46,6,1)</f>
        <v>5.6</v>
      </c>
      <c r="C61" s="1"/>
      <c r="E61" s="7" t="s">
        <v>18</v>
      </c>
      <c r="F61" s="12">
        <f>(B69-B65)/365</f>
        <v>2.4273972602739726</v>
      </c>
      <c r="G61" s="13">
        <f>($O$63*$B$49*SQRT(F61))-((0.32989795*F61)-1.302)</f>
        <v>11.09976629103851</v>
      </c>
      <c r="H61" s="13">
        <f>$B$50*$O$63*($F$65/12500)*('Degradation Model'!$B$26/$B$61)</f>
        <v>2.7534523049509727</v>
      </c>
      <c r="I61" s="13">
        <f>IF(F63&lt;1,H61,(VLOOKUP(INT(F63)+1,$A$89:$L$103,4,1)-VLOOKUP(INT(F63),$A$89:$L$103,4,1))*(F63-INT(F63))+VLOOKUP(INT(F63),$A$89:$L$103,4,1))</f>
        <v>2.9507089150440557</v>
      </c>
      <c r="J61" s="13">
        <f>(($O$64-1)*K61*$B$63/7)</f>
        <v>1.4888292082905241</v>
      </c>
      <c r="K61" s="13">
        <f>G61+I61</f>
        <v>14.050475206082565</v>
      </c>
      <c r="L61" s="13">
        <f>K61+J61</f>
        <v>15.539304414373088</v>
      </c>
      <c r="M61" s="13">
        <f>100-L61</f>
        <v>84.460695585626908</v>
      </c>
      <c r="N61" s="14">
        <f>281*M61/100</f>
        <v>237.33455459561162</v>
      </c>
      <c r="O61" s="15">
        <f>P61/281*100</f>
        <v>69.73267393546422</v>
      </c>
      <c r="P61" s="14">
        <f>M61*232/100</f>
        <v>195.94881375865444</v>
      </c>
    </row>
    <row r="62" spans="1:31">
      <c r="A62" s="10"/>
      <c r="B62" s="10"/>
      <c r="C62" s="1"/>
      <c r="E62" s="7"/>
      <c r="F62" s="7"/>
      <c r="G62" s="1"/>
      <c r="H62" s="1"/>
      <c r="J62" s="1"/>
      <c r="K62" s="1"/>
      <c r="L62" s="1"/>
      <c r="M62" s="1"/>
    </row>
    <row r="63" spans="1:31">
      <c r="A63" s="10" t="s">
        <v>22</v>
      </c>
      <c r="B63" s="42">
        <f>VLOOKUP(B53,A5:L46,10,1)</f>
        <v>4</v>
      </c>
      <c r="C63" s="1"/>
      <c r="E63" s="7" t="s">
        <v>20</v>
      </c>
      <c r="F63" s="13">
        <f>(B69-B67)/365</f>
        <v>2.2684931506849315</v>
      </c>
      <c r="N63" s="7" t="s">
        <v>141</v>
      </c>
      <c r="O63" s="13">
        <f>VLOOKUP(Calibration!B59,'Aging Factor'!A145:G242,5,1)</f>
        <v>0.98588743092128528</v>
      </c>
    </row>
    <row r="64" spans="1:31">
      <c r="A64" s="10"/>
      <c r="B64" s="10"/>
      <c r="C64" s="1"/>
      <c r="E64" s="7"/>
      <c r="F64" s="7"/>
      <c r="K64" s="7" t="s">
        <v>24</v>
      </c>
      <c r="L64" s="20">
        <f>(B75-B73)/B75*100</f>
        <v>14.294339622641509</v>
      </c>
      <c r="N64" s="7" t="s">
        <v>142</v>
      </c>
      <c r="O64" s="13">
        <f>VLOOKUP(Calibration!B59,'Aging Factor'!A145:H242,8,1)</f>
        <v>1.1854350885855089</v>
      </c>
    </row>
    <row r="65" spans="1:17">
      <c r="A65" s="10" t="s">
        <v>28</v>
      </c>
      <c r="B65" s="43">
        <f>VLOOKUP(B53,A5:L46,3,1)</f>
        <v>40648</v>
      </c>
      <c r="C65" s="1"/>
      <c r="E65" s="7" t="s">
        <v>26</v>
      </c>
      <c r="F65" s="24">
        <f>VLOOKUP(B53,A5:L46,7,1)</f>
        <v>20900</v>
      </c>
      <c r="H65" s="18" t="s">
        <v>23</v>
      </c>
      <c r="I65" s="19"/>
    </row>
    <row r="66" spans="1:17">
      <c r="A66" s="10"/>
      <c r="B66" s="10"/>
      <c r="C66" s="1"/>
      <c r="E66" s="7"/>
      <c r="F66" s="7"/>
      <c r="H66" s="18" t="s">
        <v>27</v>
      </c>
      <c r="I66" s="19"/>
      <c r="K66" s="7" t="s">
        <v>30</v>
      </c>
      <c r="L66" s="13">
        <f>L64-L61</f>
        <v>-1.2449647917315794</v>
      </c>
      <c r="O66" s="4" t="s">
        <v>31</v>
      </c>
    </row>
    <row r="67" spans="1:17">
      <c r="A67" s="10" t="s">
        <v>32</v>
      </c>
      <c r="B67" s="43">
        <f>VLOOKUP(B53,A5:L46,4,1)</f>
        <v>40706</v>
      </c>
      <c r="C67" s="1"/>
      <c r="E67" s="7" t="s">
        <v>41</v>
      </c>
      <c r="F67" s="25">
        <v>70</v>
      </c>
      <c r="H67" s="18" t="s">
        <v>29</v>
      </c>
      <c r="I67" s="19"/>
      <c r="K67" s="7" t="s">
        <v>5</v>
      </c>
    </row>
    <row r="68" spans="1:17">
      <c r="A68" s="10"/>
      <c r="B68" s="10"/>
      <c r="O68" s="8" t="s">
        <v>9</v>
      </c>
      <c r="P68" s="8" t="s">
        <v>38</v>
      </c>
      <c r="Q68" s="8" t="s">
        <v>39</v>
      </c>
    </row>
    <row r="69" spans="1:17">
      <c r="A69" s="10" t="s">
        <v>40</v>
      </c>
      <c r="B69" s="43">
        <f>VLOOKUP(B53,A5:L46,9,1)</f>
        <v>41534</v>
      </c>
      <c r="N69" s="7" t="s">
        <v>45</v>
      </c>
      <c r="O69" s="23">
        <f>O70/(SUM($O$70:$Q$70))</f>
        <v>0.71430264798543841</v>
      </c>
      <c r="P69" s="23">
        <f>P70/(SUM($O$70:$Q$70))</f>
        <v>0.18988680808098435</v>
      </c>
      <c r="Q69" s="23">
        <f>Q70/(SUM($O$70:$Q$70))</f>
        <v>9.5810543933577269E-2</v>
      </c>
    </row>
    <row r="70" spans="1:17">
      <c r="A70" s="10"/>
      <c r="B70" s="10"/>
      <c r="F70" s="8" t="s">
        <v>33</v>
      </c>
      <c r="G70" s="8" t="s">
        <v>34</v>
      </c>
      <c r="H70" s="8" t="s">
        <v>35</v>
      </c>
      <c r="I70" s="8" t="s">
        <v>36</v>
      </c>
      <c r="N70" s="7" t="s">
        <v>46</v>
      </c>
      <c r="O70" s="23">
        <f>G61/100</f>
        <v>0.1109976629103851</v>
      </c>
      <c r="P70" s="23">
        <f>I61/100</f>
        <v>2.9507089150440556E-2</v>
      </c>
      <c r="Q70" s="23">
        <f>J61/100</f>
        <v>1.4888292082905241E-2</v>
      </c>
    </row>
    <row r="71" spans="1:17">
      <c r="A71" s="10" t="s">
        <v>47</v>
      </c>
      <c r="B71" s="24">
        <f>F65/F63</f>
        <v>9213.1642512077287</v>
      </c>
      <c r="E71" s="7" t="s">
        <v>41</v>
      </c>
      <c r="F71" s="8" t="s">
        <v>42</v>
      </c>
      <c r="G71" s="8" t="s">
        <v>6</v>
      </c>
      <c r="H71" s="8" t="s">
        <v>33</v>
      </c>
      <c r="I71" s="8" t="s">
        <v>43</v>
      </c>
    </row>
    <row r="72" spans="1:17">
      <c r="A72" s="10"/>
      <c r="B72" s="10"/>
      <c r="E72" s="7"/>
      <c r="F72" s="7"/>
      <c r="G72" s="7"/>
      <c r="H72" s="7"/>
      <c r="I72" s="7"/>
    </row>
    <row r="73" spans="1:17">
      <c r="A73" s="10" t="s">
        <v>48</v>
      </c>
      <c r="B73" s="28">
        <v>56.78</v>
      </c>
      <c r="E73" s="25">
        <v>90</v>
      </c>
      <c r="F73" s="13">
        <f>IF($L$61&gt;100-E73,$F$63,VLOOKUP(E73,'End of Life'!$H$269:$I$518,2,1))</f>
        <v>2.2684931506849315</v>
      </c>
      <c r="G73" s="13">
        <f t="shared" ref="G73:G81" si="39">F73-$F$63</f>
        <v>0</v>
      </c>
      <c r="H73" s="26">
        <f t="shared" ref="H73:H81" si="40">F73*$B$71</f>
        <v>20900</v>
      </c>
    </row>
    <row r="74" spans="1:17">
      <c r="A74" s="10"/>
      <c r="B74" s="10"/>
      <c r="E74" s="25">
        <v>85</v>
      </c>
      <c r="F74" s="13">
        <f>IF($L$61&gt;100-E74,$F$63,VLOOKUP(E74,'End of Life'!$H$269:$I$518,2,1))</f>
        <v>2.2684931506849315</v>
      </c>
      <c r="G74" s="13">
        <f t="shared" si="39"/>
        <v>0</v>
      </c>
      <c r="H74" s="26">
        <f t="shared" si="40"/>
        <v>20900</v>
      </c>
    </row>
    <row r="75" spans="1:17">
      <c r="A75" s="10" t="s">
        <v>49</v>
      </c>
      <c r="B75" s="27">
        <v>66.25</v>
      </c>
      <c r="E75" s="25">
        <v>80</v>
      </c>
      <c r="F75" s="13">
        <f>IF($L$61&gt;100-E75,$F$63,VLOOKUP(E75,'End of Life'!$H$269:$I$518,2,1))</f>
        <v>3.5999999999999868</v>
      </c>
      <c r="G75" s="13">
        <f t="shared" si="39"/>
        <v>1.3315068493150553</v>
      </c>
      <c r="H75" s="26">
        <f t="shared" si="40"/>
        <v>33167.3913043477</v>
      </c>
    </row>
    <row r="76" spans="1:17">
      <c r="E76" s="25">
        <v>75</v>
      </c>
      <c r="F76" s="13">
        <f>IF($L$61&gt;100-E76,$F$63,VLOOKUP(E76,'End of Life'!$H$269:$I$518,2,1))</f>
        <v>5.1999999999999833</v>
      </c>
      <c r="G76" s="13">
        <f t="shared" si="39"/>
        <v>2.9315068493150518</v>
      </c>
      <c r="H76" s="26">
        <f t="shared" si="40"/>
        <v>47908.454106280034</v>
      </c>
    </row>
    <row r="77" spans="1:17">
      <c r="E77" s="25">
        <v>70</v>
      </c>
      <c r="F77" s="13">
        <f>IF($L$61&gt;100-E77,$F$63,VLOOKUP(E77,'End of Life'!$H$269:$I$518,2,1))</f>
        <v>6.7999999999999776</v>
      </c>
      <c r="G77" s="13">
        <f t="shared" si="39"/>
        <v>4.5315068493150461</v>
      </c>
      <c r="H77" s="26">
        <f t="shared" si="40"/>
        <v>62649.516908212347</v>
      </c>
      <c r="I77" s="29" t="str">
        <f>IF(AND(F77&lt;=5,H77&lt;60000),"Yes","No")</f>
        <v>No</v>
      </c>
    </row>
    <row r="78" spans="1:17">
      <c r="E78" s="25">
        <v>65</v>
      </c>
      <c r="F78" s="13">
        <f>IF($L$61&gt;100-E78,$F$63,VLOOKUP(E78,'End of Life'!$H$269:$I$518,2,1))</f>
        <v>8.4999999999999716</v>
      </c>
      <c r="G78" s="13">
        <f t="shared" si="39"/>
        <v>6.2315068493150401</v>
      </c>
      <c r="H78" s="26">
        <f t="shared" si="40"/>
        <v>78311.89613526543</v>
      </c>
      <c r="I78" s="29" t="str">
        <f>IF(AND(F78&lt;=5,H78&lt;60000),"Yes","No")</f>
        <v>No</v>
      </c>
    </row>
    <row r="79" spans="1:17">
      <c r="E79" s="25">
        <v>60</v>
      </c>
      <c r="F79" s="13">
        <f>IF($L$61&gt;100-E79,$F$63,VLOOKUP(E79,'End of Life'!$H$269:$I$518,2,1))</f>
        <v>10.199999999999966</v>
      </c>
      <c r="G79" s="13">
        <f t="shared" si="39"/>
        <v>7.931506849315034</v>
      </c>
      <c r="H79" s="26">
        <f t="shared" si="40"/>
        <v>93974.275362318513</v>
      </c>
    </row>
    <row r="80" spans="1:17">
      <c r="E80" s="25">
        <v>55</v>
      </c>
      <c r="F80" s="13">
        <f>IF($L$61&gt;100-E80,$F$63,VLOOKUP(E80,'End of Life'!$H$269:$I$518,2,1))</f>
        <v>11.79999999999996</v>
      </c>
      <c r="G80" s="13">
        <f t="shared" si="39"/>
        <v>9.5315068493150292</v>
      </c>
      <c r="H80" s="26">
        <f t="shared" si="40"/>
        <v>108715.33816425083</v>
      </c>
    </row>
    <row r="81" spans="1:15">
      <c r="E81" s="25">
        <v>50</v>
      </c>
      <c r="F81" s="13">
        <f>IF($L$61&gt;100-E81,$F$63,VLOOKUP(E81,'End of Life'!$H$269:$I$518,2,1))</f>
        <v>13.299999999999955</v>
      </c>
      <c r="G81" s="13">
        <f t="shared" si="39"/>
        <v>11.031506849315022</v>
      </c>
      <c r="H81" s="26">
        <f t="shared" si="40"/>
        <v>122535.08454106237</v>
      </c>
    </row>
    <row r="84" spans="1:15">
      <c r="A84" s="3" t="s">
        <v>53</v>
      </c>
    </row>
    <row r="86" spans="1:15">
      <c r="A86" s="29"/>
      <c r="B86" s="29" t="s">
        <v>54</v>
      </c>
      <c r="C86" s="29" t="s">
        <v>54</v>
      </c>
      <c r="D86" s="29" t="s">
        <v>2</v>
      </c>
      <c r="E86" s="29" t="s">
        <v>3</v>
      </c>
      <c r="F86" s="29" t="s">
        <v>4</v>
      </c>
      <c r="G86" s="29" t="s">
        <v>54</v>
      </c>
      <c r="H86" s="29" t="s">
        <v>55</v>
      </c>
      <c r="I86" s="29" t="s">
        <v>6</v>
      </c>
      <c r="J86" s="29" t="s">
        <v>7</v>
      </c>
      <c r="K86" s="29" t="s">
        <v>8</v>
      </c>
      <c r="L86" s="29" t="s">
        <v>8</v>
      </c>
    </row>
    <row r="87" spans="1:15">
      <c r="A87" s="29" t="s">
        <v>56</v>
      </c>
      <c r="B87" s="29" t="s">
        <v>9</v>
      </c>
      <c r="C87" s="29" t="s">
        <v>10</v>
      </c>
      <c r="D87" s="29" t="s">
        <v>10</v>
      </c>
      <c r="E87" s="29" t="s">
        <v>11</v>
      </c>
      <c r="F87" s="29" t="s">
        <v>10</v>
      </c>
      <c r="G87" s="29" t="s">
        <v>12</v>
      </c>
      <c r="H87" s="29" t="s">
        <v>57</v>
      </c>
      <c r="I87" s="29" t="s">
        <v>52</v>
      </c>
      <c r="J87" s="29" t="s">
        <v>14</v>
      </c>
      <c r="K87" s="29" t="s">
        <v>15</v>
      </c>
      <c r="L87" s="29" t="s">
        <v>14</v>
      </c>
    </row>
    <row r="88" spans="1:1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</row>
    <row r="89" spans="1:15">
      <c r="A89" s="32">
        <v>1</v>
      </c>
      <c r="B89" s="13">
        <f>(VLOOKUP($B$59,'Aging Factor'!$A$145:$G$242,5,1)*SQRT(A89+$F$61-$F$63)*Calibration!$B$49)-((0.32989795*(A89+$F$61-$F$63))-1.302)</f>
        <v>8.2428677176008254</v>
      </c>
      <c r="C89" s="13">
        <f>A89*$B$50*(VLOOKUP($B$59,'Aging Factor'!$A$145:$G$242,5,1)*($B$71/12500)*('Degradation Model'!$B$26/$B$61))</f>
        <v>1.2137803035109964</v>
      </c>
      <c r="D89" s="13">
        <f>C89</f>
        <v>1.2137803035109964</v>
      </c>
      <c r="E89" s="13">
        <f>((VLOOKUP($B$59,'Aging Factor'!$A$145:$H$242,8,1)-1)*F89*$B$63/7)</f>
        <v>1.0020539220096276</v>
      </c>
      <c r="F89" s="13">
        <f t="shared" ref="F89:F103" si="41">B89+D89</f>
        <v>9.4566480211118211</v>
      </c>
      <c r="G89" s="13">
        <f t="shared" ref="G89:G103" si="42">F89+E89</f>
        <v>10.458701943121449</v>
      </c>
      <c r="H89" s="13">
        <f>G89</f>
        <v>10.458701943121449</v>
      </c>
      <c r="I89" s="13">
        <f t="shared" ref="I89:I103" si="43">IF(100-G89&lt;=5,5,100-G89)</f>
        <v>89.541298056878546</v>
      </c>
      <c r="J89" s="33">
        <f t="shared" ref="J89:J103" si="44">IF(281*I89/100&gt;0,281*I89/100,0)</f>
        <v>251.61104753982872</v>
      </c>
      <c r="K89" s="15">
        <f t="shared" ref="K89:K103" si="45">IF(L89/281*100&gt;0,L89/281*100,0)</f>
        <v>73.927335050518934</v>
      </c>
      <c r="L89" s="14">
        <f t="shared" ref="L89:L103" si="46">IF(I89*232/100&gt;0,I89*232/100,0)</f>
        <v>207.73581149195823</v>
      </c>
    </row>
    <row r="90" spans="1:15">
      <c r="A90" s="28">
        <f t="shared" ref="A90:A103" si="47">A89+1</f>
        <v>2</v>
      </c>
      <c r="B90" s="13">
        <f>(VLOOKUP($B$59,'Aging Factor'!$A$145:$G$242,5,1)*SQRT(A90+$F$61-$F$63)*Calibration!$B$49)-((0.32989795*(A90+$F$61-$F$63))-1.302)</f>
        <v>10.58501897893106</v>
      </c>
      <c r="C90" s="13">
        <f>A90*$B$50*(VLOOKUP($B$59,'Aging Factor'!$A$145:$G$242,5,1)*($B$71/12500)*('Degradation Model'!$B$26/$B$61))</f>
        <v>2.4275606070219928</v>
      </c>
      <c r="D90" s="13">
        <f>D89+(C89*100/I89)</f>
        <v>2.5693339193855138</v>
      </c>
      <c r="E90" s="13">
        <f>((VLOOKUP($B$59,'Aging Factor'!$A$145:$H$242,8,1)-1)*F90*$B$63/7)</f>
        <v>1.3938734828482173</v>
      </c>
      <c r="F90" s="13">
        <f t="shared" si="41"/>
        <v>13.154352898316574</v>
      </c>
      <c r="G90" s="13">
        <f t="shared" si="42"/>
        <v>14.548226381164792</v>
      </c>
      <c r="H90" s="13">
        <f t="shared" ref="H90:H103" si="48">G90-G89</f>
        <v>4.0895244380433429</v>
      </c>
      <c r="I90" s="13">
        <f t="shared" si="43"/>
        <v>85.451773618835205</v>
      </c>
      <c r="J90" s="14">
        <f t="shared" si="44"/>
        <v>240.11948386892692</v>
      </c>
      <c r="K90" s="15">
        <f t="shared" si="45"/>
        <v>70.550930532276752</v>
      </c>
      <c r="L90" s="14">
        <f t="shared" si="46"/>
        <v>198.24811479569769</v>
      </c>
    </row>
    <row r="91" spans="1:15">
      <c r="A91" s="28">
        <f t="shared" si="47"/>
        <v>3</v>
      </c>
      <c r="B91" s="13">
        <f>(VLOOKUP($B$59,'Aging Factor'!$A$145:$G$242,5,1)*SQRT(A91+$F$61-$F$63)*Calibration!$B$49)-((0.32989795*(A91+$F$61-$F$63))-1.302)</f>
        <v>12.350394605662469</v>
      </c>
      <c r="C91" s="13">
        <f>A91*$B$50*(VLOOKUP($B$59,'Aging Factor'!$A$145:$G$242,5,1)*($B$71/12500)*('Degradation Model'!$B$26/$B$61))</f>
        <v>3.641340910532989</v>
      </c>
      <c r="D91" s="13">
        <f>D90+(C89*100/I90)</f>
        <v>3.9897611991341648</v>
      </c>
      <c r="E91" s="13">
        <f>((VLOOKUP($B$59,'Aging Factor'!$A$145:$H$242,8,1)-1)*F91*$B$63/7)</f>
        <v>1.7314504223791327</v>
      </c>
      <c r="F91" s="13">
        <f t="shared" si="41"/>
        <v>16.340155804796634</v>
      </c>
      <c r="G91" s="13">
        <f t="shared" si="42"/>
        <v>18.071606227175767</v>
      </c>
      <c r="H91" s="13">
        <f t="shared" si="48"/>
        <v>3.5233798460109753</v>
      </c>
      <c r="I91" s="13">
        <f t="shared" si="43"/>
        <v>81.928393772824236</v>
      </c>
      <c r="J91" s="14">
        <f t="shared" si="44"/>
        <v>230.21878650163609</v>
      </c>
      <c r="K91" s="15">
        <f t="shared" si="45"/>
        <v>67.6419478836129</v>
      </c>
      <c r="L91" s="14">
        <f t="shared" si="46"/>
        <v>190.07387355295225</v>
      </c>
    </row>
    <row r="92" spans="1:15">
      <c r="A92" s="28">
        <f t="shared" si="47"/>
        <v>4</v>
      </c>
      <c r="B92" s="13">
        <f>(VLOOKUP($B$59,'Aging Factor'!$A$145:$G$242,5,1)*SQRT(A92+$F$61-$F$63)*Calibration!$B$49)-((0.32989795*(A92+$F$61-$F$63))-1.302)</f>
        <v>13.802841925431707</v>
      </c>
      <c r="C92" s="13">
        <f>A92*$B$50*(VLOOKUP($B$59,'Aging Factor'!$A$145:$G$242,5,1)*($B$71/12500)*('Degradation Model'!$B$26/$B$61))</f>
        <v>4.8551212140439857</v>
      </c>
      <c r="D92" s="13">
        <f>D91+(C89*100/I91)</f>
        <v>5.4712748082946669</v>
      </c>
      <c r="E92" s="13">
        <f>((VLOOKUP($B$59,'Aging Factor'!$A$145:$H$242,8,1)-1)*F92*$B$63/7)</f>
        <v>2.0423414536719946</v>
      </c>
      <c r="F92" s="13">
        <f t="shared" si="41"/>
        <v>19.274116733726373</v>
      </c>
      <c r="G92" s="13">
        <f t="shared" si="42"/>
        <v>21.316458187398368</v>
      </c>
      <c r="H92" s="13">
        <f t="shared" si="48"/>
        <v>3.2448519602226007</v>
      </c>
      <c r="I92" s="13">
        <f t="shared" si="43"/>
        <v>78.683541812601632</v>
      </c>
      <c r="J92" s="14">
        <f t="shared" si="44"/>
        <v>221.1007524934106</v>
      </c>
      <c r="K92" s="15">
        <f t="shared" si="45"/>
        <v>64.962924201151523</v>
      </c>
      <c r="L92" s="14">
        <f t="shared" si="46"/>
        <v>182.54581700523579</v>
      </c>
    </row>
    <row r="93" spans="1:15">
      <c r="A93" s="32">
        <f t="shared" si="47"/>
        <v>5</v>
      </c>
      <c r="B93" s="13">
        <f>(VLOOKUP($B$59,'Aging Factor'!$A$145:$G$242,5,1)*SQRT(A93+$F$61-$F$63)*Calibration!$B$49)-((0.32989795*(A93+$F$61-$F$63))-1.302)</f>
        <v>15.051036730141723</v>
      </c>
      <c r="C93" s="13">
        <f>A93*$B$50*(VLOOKUP($B$59,'Aging Factor'!$A$145:$G$242,5,1)*($B$71/12500)*('Degradation Model'!$B$26/$B$61))</f>
        <v>6.0689015175549823</v>
      </c>
      <c r="D93" s="13">
        <f>D92+(C89*100/I92)</f>
        <v>7.0138849597311932</v>
      </c>
      <c r="E93" s="13">
        <f>((VLOOKUP($B$59,'Aging Factor'!$A$145:$H$242,8,1)-1)*F93*$B$63/7)</f>
        <v>2.3380632618250869</v>
      </c>
      <c r="F93" s="13">
        <f t="shared" si="41"/>
        <v>22.064921689872918</v>
      </c>
      <c r="G93" s="13">
        <f t="shared" si="42"/>
        <v>24.402984951698006</v>
      </c>
      <c r="H93" s="13">
        <f t="shared" si="48"/>
        <v>3.0865267642996379</v>
      </c>
      <c r="I93" s="13">
        <f t="shared" si="43"/>
        <v>75.597015048301998</v>
      </c>
      <c r="J93" s="33">
        <f t="shared" si="44"/>
        <v>212.4276122857286</v>
      </c>
      <c r="K93" s="15">
        <f t="shared" si="45"/>
        <v>62.414617406427261</v>
      </c>
      <c r="L93" s="14">
        <f t="shared" si="46"/>
        <v>175.38507491206062</v>
      </c>
    </row>
    <row r="94" spans="1:15">
      <c r="A94" s="28">
        <f t="shared" si="47"/>
        <v>6</v>
      </c>
      <c r="B94" s="13">
        <f>(VLOOKUP($B$59,'Aging Factor'!$A$145:$G$242,5,1)*SQRT(A94+$F$61-$F$63)*Calibration!$B$49)-((0.32989795*(A94+$F$61-$F$63))-1.302)</f>
        <v>16.152355206624676</v>
      </c>
      <c r="C94" s="13">
        <f>A94*$B$50*(VLOOKUP($B$59,'Aging Factor'!$A$145:$G$242,5,1)*($B$71/12500)*('Degradation Model'!$B$26/$B$61))</f>
        <v>7.2826818210659781</v>
      </c>
      <c r="D94" s="13">
        <f>D93+(C89*100/I93)</f>
        <v>8.6194778561378342</v>
      </c>
      <c r="E94" s="13">
        <f>((VLOOKUP($B$59,'Aging Factor'!$A$145:$H$242,8,1)-1)*F94*$B$63/7)</f>
        <v>2.6248954619536033</v>
      </c>
      <c r="F94" s="13">
        <f t="shared" si="41"/>
        <v>24.771833062762511</v>
      </c>
      <c r="G94" s="13">
        <f t="shared" si="42"/>
        <v>27.396728524716114</v>
      </c>
      <c r="H94" s="13">
        <f t="shared" si="48"/>
        <v>2.9937435730181079</v>
      </c>
      <c r="I94" s="13">
        <f t="shared" si="43"/>
        <v>72.60327147528389</v>
      </c>
      <c r="J94" s="14">
        <f t="shared" si="44"/>
        <v>204.01519284554772</v>
      </c>
      <c r="K94" s="15">
        <f t="shared" si="45"/>
        <v>59.942914527636525</v>
      </c>
      <c r="L94" s="14">
        <f t="shared" si="46"/>
        <v>168.43958982265863</v>
      </c>
    </row>
    <row r="95" spans="1:15">
      <c r="A95" s="28">
        <f t="shared" si="47"/>
        <v>7</v>
      </c>
      <c r="B95" s="13">
        <f>(VLOOKUP($B$59,'Aging Factor'!$A$145:$G$242,5,1)*SQRT(A95+$F$61-$F$63)*Calibration!$B$49)-((0.32989795*(A95+$F$61-$F$63))-1.302)</f>
        <v>17.141478436746116</v>
      </c>
      <c r="C95" s="13">
        <f>A95*$B$50*(VLOOKUP($B$59,'Aging Factor'!$A$145:$G$242,5,1)*($B$71/12500)*('Degradation Model'!$B$26/$B$61))</f>
        <v>8.4964621245769756</v>
      </c>
      <c r="D95" s="13">
        <f>D94+(C89*100/I94)</f>
        <v>10.291276218452953</v>
      </c>
      <c r="E95" s="13">
        <f>((VLOOKUP($B$59,'Aging Factor'!$A$145:$H$242,8,1)-1)*F95*$B$63/7)</f>
        <v>2.9068544512179271</v>
      </c>
      <c r="F95" s="13">
        <f t="shared" si="41"/>
        <v>27.432754655199069</v>
      </c>
      <c r="G95" s="13">
        <f t="shared" si="42"/>
        <v>30.339609106416997</v>
      </c>
      <c r="H95" s="13">
        <f t="shared" si="48"/>
        <v>2.9428805817008836</v>
      </c>
      <c r="I95" s="13">
        <f t="shared" si="43"/>
        <v>69.660390893582999</v>
      </c>
      <c r="J95" s="14">
        <f t="shared" si="44"/>
        <v>195.7456984109682</v>
      </c>
      <c r="K95" s="15">
        <f t="shared" si="45"/>
        <v>57.513205292922621</v>
      </c>
      <c r="L95" s="14">
        <f t="shared" si="46"/>
        <v>161.61210687311257</v>
      </c>
    </row>
    <row r="96" spans="1:15">
      <c r="A96" s="28">
        <f t="shared" si="47"/>
        <v>8</v>
      </c>
      <c r="B96" s="13">
        <f>(VLOOKUP($B$59,'Aging Factor'!$A$145:$G$242,5,1)*SQRT(A96+$F$61-$F$63)*Calibration!$B$49)-((0.32989795*(A96+$F$61-$F$63))-1.302)</f>
        <v>18.041268235709612</v>
      </c>
      <c r="C96" s="13">
        <f>A96*$B$50*(VLOOKUP($B$59,'Aging Factor'!$A$145:$G$242,5,1)*($B$71/12500)*('Degradation Model'!$B$26/$B$61))</f>
        <v>9.7102424280879713</v>
      </c>
      <c r="D96" s="13">
        <f>D95+(C89*100/I95)</f>
        <v>12.033701559369046</v>
      </c>
      <c r="E96" s="13">
        <f>((VLOOKUP($B$59,'Aging Factor'!$A$145:$H$242,8,1)-1)*F96*$B$63/7)</f>
        <v>3.1868312503753811</v>
      </c>
      <c r="F96" s="13">
        <f t="shared" si="41"/>
        <v>30.074969795078658</v>
      </c>
      <c r="G96" s="13">
        <f t="shared" si="42"/>
        <v>33.261801045454042</v>
      </c>
      <c r="H96" s="13">
        <f t="shared" si="48"/>
        <v>2.9221919390370452</v>
      </c>
      <c r="I96" s="13">
        <f t="shared" si="43"/>
        <v>66.738198954545965</v>
      </c>
      <c r="J96" s="14">
        <f t="shared" si="44"/>
        <v>187.53433906227417</v>
      </c>
      <c r="K96" s="15">
        <f t="shared" si="45"/>
        <v>55.100577072792397</v>
      </c>
      <c r="L96" s="14">
        <f t="shared" si="46"/>
        <v>154.83262157454664</v>
      </c>
      <c r="O96" s="4" t="s">
        <v>58</v>
      </c>
    </row>
    <row r="97" spans="1:31">
      <c r="A97" s="28">
        <f t="shared" si="47"/>
        <v>9</v>
      </c>
      <c r="B97" s="13">
        <f>(VLOOKUP($B$59,'Aging Factor'!$A$145:$G$242,5,1)*SQRT(A97+$F$61-$F$63)*Calibration!$B$49)-((0.32989795*(A97+$F$61-$F$63))-1.302)</f>
        <v>18.867738642549682</v>
      </c>
      <c r="C97" s="13">
        <f>A97*$B$50*(VLOOKUP($B$59,'Aging Factor'!$A$145:$G$242,5,1)*($B$71/12500)*('Degradation Model'!$B$26/$B$61))</f>
        <v>10.924022731598967</v>
      </c>
      <c r="D97" s="13">
        <f>D96+(C89*100/I96)</f>
        <v>13.85242055767117</v>
      </c>
      <c r="E97" s="13">
        <f>((VLOOKUP($B$59,'Aging Factor'!$A$145:$H$242,8,1)-1)*F97*$B$63/7)</f>
        <v>3.4671232113285191</v>
      </c>
      <c r="F97" s="13">
        <f t="shared" si="41"/>
        <v>32.720159200220849</v>
      </c>
      <c r="G97" s="13">
        <f t="shared" si="42"/>
        <v>36.187282411549369</v>
      </c>
      <c r="H97" s="13">
        <f t="shared" si="48"/>
        <v>2.9254813660953261</v>
      </c>
      <c r="I97" s="13">
        <f t="shared" si="43"/>
        <v>63.812717588450631</v>
      </c>
      <c r="J97" s="14">
        <f t="shared" si="44"/>
        <v>179.31373642354629</v>
      </c>
      <c r="K97" s="15">
        <f t="shared" si="45"/>
        <v>52.685233026763512</v>
      </c>
      <c r="L97" s="14">
        <f t="shared" si="46"/>
        <v>148.04550480520547</v>
      </c>
    </row>
    <row r="98" spans="1:31">
      <c r="A98" s="32">
        <f t="shared" si="47"/>
        <v>10</v>
      </c>
      <c r="B98" s="13">
        <f>(VLOOKUP($B$59,'Aging Factor'!$A$145:$G$242,5,1)*SQRT(A98+$F$61-$F$63)*Calibration!$B$49)-((0.32989795*(A98+$F$61-$F$63))-1.302)</f>
        <v>19.632623870969731</v>
      </c>
      <c r="C98" s="13">
        <f>A98*$B$50*(VLOOKUP($B$59,'Aging Factor'!$A$145:$G$242,5,1)*($B$71/12500)*('Degradation Model'!$B$26/$B$61))</f>
        <v>12.137803035109965</v>
      </c>
      <c r="D98" s="13">
        <f>D97+(C89*100/I97)</f>
        <v>15.75451836729443</v>
      </c>
      <c r="E98" s="13">
        <f>((VLOOKUP($B$59,'Aging Factor'!$A$145:$H$242,8,1)-1)*F98*$B$63/7)</f>
        <v>3.7497244889945831</v>
      </c>
      <c r="F98" s="13">
        <f t="shared" si="41"/>
        <v>35.387142238264161</v>
      </c>
      <c r="G98" s="13">
        <f t="shared" si="42"/>
        <v>39.136866727258742</v>
      </c>
      <c r="H98" s="13">
        <f t="shared" si="48"/>
        <v>2.9495843157093731</v>
      </c>
      <c r="I98" s="13">
        <f t="shared" si="43"/>
        <v>60.863133272741258</v>
      </c>
      <c r="J98" s="33">
        <f t="shared" si="44"/>
        <v>171.02540449640296</v>
      </c>
      <c r="K98" s="15">
        <f t="shared" si="45"/>
        <v>50.249989036569296</v>
      </c>
      <c r="L98" s="14">
        <f t="shared" si="46"/>
        <v>141.20246919275974</v>
      </c>
      <c r="O98" s="8" t="s">
        <v>9</v>
      </c>
      <c r="P98" s="8" t="s">
        <v>38</v>
      </c>
      <c r="Q98" s="8" t="s">
        <v>39</v>
      </c>
    </row>
    <row r="99" spans="1:31">
      <c r="A99" s="28">
        <f t="shared" si="47"/>
        <v>11</v>
      </c>
      <c r="B99" s="13">
        <f>(VLOOKUP($B$59,'Aging Factor'!$A$145:$G$242,5,1)*SQRT(A99+$F$61-$F$63)*Calibration!$B$49)-((0.32989795*(A99+$F$61-$F$63))-1.302)</f>
        <v>20.344826656295115</v>
      </c>
      <c r="C99" s="13">
        <f>A99*$B$50*(VLOOKUP($B$59,'Aging Factor'!$A$145:$G$242,5,1)*($B$71/12500)*('Degradation Model'!$B$26/$B$61))</f>
        <v>13.35158333862096</v>
      </c>
      <c r="D99" s="13">
        <f>D98+(C89*100/I98)</f>
        <v>17.748796739509967</v>
      </c>
      <c r="E99" s="13">
        <f>((VLOOKUP($B$59,'Aging Factor'!$A$145:$H$242,8,1)-1)*F99*$B$63/7)</f>
        <v>4.0365111022537894</v>
      </c>
      <c r="F99" s="13">
        <f t="shared" si="41"/>
        <v>38.093623395805082</v>
      </c>
      <c r="G99" s="13">
        <f t="shared" si="42"/>
        <v>42.130134498058872</v>
      </c>
      <c r="H99" s="13">
        <f t="shared" si="48"/>
        <v>2.9932677708001307</v>
      </c>
      <c r="I99" s="13">
        <f t="shared" si="43"/>
        <v>57.869865501941128</v>
      </c>
      <c r="J99" s="14">
        <f t="shared" si="44"/>
        <v>162.61432206045455</v>
      </c>
      <c r="K99" s="15">
        <f t="shared" si="45"/>
        <v>47.77867899092648</v>
      </c>
      <c r="L99" s="14">
        <f t="shared" si="46"/>
        <v>134.2580879645034</v>
      </c>
      <c r="N99" s="7" t="s">
        <v>45</v>
      </c>
      <c r="O99" s="23">
        <f>O100/(SUM($O$100:$Q$100))</f>
        <v>0.56375063631256839</v>
      </c>
      <c r="P99" s="23">
        <f>P100/(SUM($O$100:$Q$100))</f>
        <v>0.34043881975385415</v>
      </c>
      <c r="Q99" s="23">
        <f>Q100/(SUM($O$100:$Q$100))</f>
        <v>9.5810543933577269E-2</v>
      </c>
      <c r="AE99" t="str">
        <f ca="1">INDIRECT("B" &amp; (A10+1))</f>
        <v>Drees</v>
      </c>
    </row>
    <row r="100" spans="1:31">
      <c r="A100" s="28">
        <f t="shared" si="47"/>
        <v>12</v>
      </c>
      <c r="B100" s="13">
        <f>(VLOOKUP($B$59,'Aging Factor'!$A$145:$G$242,5,1)*SQRT(A100+$F$61-$F$63)*Calibration!$B$49)-((0.32989795*(A100+$F$61-$F$63))-1.302)</f>
        <v>21.011291431704926</v>
      </c>
      <c r="C100" s="13">
        <f>A100*$B$50*(VLOOKUP($B$59,'Aging Factor'!$A$145:$G$242,5,1)*($B$71/12500)*('Degradation Model'!$B$26/$B$61))</f>
        <v>14.565363642131956</v>
      </c>
      <c r="D100" s="13">
        <f>D99+(C89*100/I99)</f>
        <v>19.846227402227306</v>
      </c>
      <c r="E100" s="13">
        <f>((VLOOKUP($B$59,'Aging Factor'!$A$145:$H$242,8,1)-1)*F100*$B$63/7)</f>
        <v>4.329381499631042</v>
      </c>
      <c r="F100" s="13">
        <f t="shared" si="41"/>
        <v>40.857518833932232</v>
      </c>
      <c r="G100" s="13">
        <f t="shared" si="42"/>
        <v>45.186900333563273</v>
      </c>
      <c r="H100" s="13">
        <f t="shared" si="48"/>
        <v>3.0567658355044003</v>
      </c>
      <c r="I100" s="13">
        <f t="shared" si="43"/>
        <v>54.813099666436727</v>
      </c>
      <c r="J100" s="14">
        <f t="shared" si="44"/>
        <v>154.02481006268721</v>
      </c>
      <c r="K100" s="15">
        <f t="shared" si="45"/>
        <v>45.254943496844561</v>
      </c>
      <c r="L100" s="14">
        <f t="shared" si="46"/>
        <v>127.1663912261332</v>
      </c>
      <c r="N100" s="7" t="s">
        <v>46</v>
      </c>
      <c r="O100" s="23">
        <f>VLOOKUP(F77,'End of Life'!A269:I518,2,0)/100</f>
        <v>0.16951411626171556</v>
      </c>
      <c r="P100" s="23">
        <f>VLOOKUP(F77,'End of Life'!A269:I518,4,0)/100</f>
        <v>0.10236651092622363</v>
      </c>
      <c r="Q100" s="23">
        <f>VLOOKUP(F77,'End of Life'!A269:I518,5,0)/100</f>
        <v>2.8809261821302421E-2</v>
      </c>
    </row>
    <row r="101" spans="1:31">
      <c r="A101" s="28">
        <f t="shared" si="47"/>
        <v>13</v>
      </c>
      <c r="B101" s="13">
        <f>(VLOOKUP($B$59,'Aging Factor'!$A$145:$G$242,5,1)*SQRT(A101+$F$61-$F$63)*Calibration!$B$49)-((0.32989795*(A101+$F$61-$F$63))-1.302)</f>
        <v>21.637559073696263</v>
      </c>
      <c r="C101" s="13">
        <f>A101*$B$50*(VLOOKUP($B$59,'Aging Factor'!$A$145:$G$242,5,1)*($B$71/12500)*('Degradation Model'!$B$26/$B$61))</f>
        <v>15.779143945642954</v>
      </c>
      <c r="D101" s="13">
        <f>D100+(C89*100/I100)</f>
        <v>22.060625622538538</v>
      </c>
      <c r="E101" s="13">
        <f>((VLOOKUP($B$59,'Aging Factor'!$A$145:$H$242,8,1)-1)*F101*$B$63/7)</f>
        <v>4.630386714384132</v>
      </c>
      <c r="F101" s="13">
        <f t="shared" si="41"/>
        <v>43.698184696234804</v>
      </c>
      <c r="G101" s="13">
        <f t="shared" si="42"/>
        <v>48.328571410618935</v>
      </c>
      <c r="H101" s="13">
        <f t="shared" si="48"/>
        <v>3.141671077055662</v>
      </c>
      <c r="I101" s="13">
        <f t="shared" si="43"/>
        <v>51.671428589381065</v>
      </c>
      <c r="J101" s="14">
        <f t="shared" si="44"/>
        <v>145.1967143361608</v>
      </c>
      <c r="K101" s="15">
        <f t="shared" si="45"/>
        <v>42.66110830155305</v>
      </c>
      <c r="L101" s="14">
        <f t="shared" si="46"/>
        <v>119.87771432736406</v>
      </c>
    </row>
    <row r="102" spans="1:31">
      <c r="A102" s="28">
        <f t="shared" si="47"/>
        <v>14</v>
      </c>
      <c r="B102" s="13">
        <f>(VLOOKUP($B$59,'Aging Factor'!$A$145:$G$242,5,1)*SQRT(A102+$F$61-$F$63)*Calibration!$B$49)-((0.32989795*(A102+$F$61-$F$63))-1.302)</f>
        <v>22.228134599200182</v>
      </c>
      <c r="C102" s="13">
        <f>A102*$B$50*(VLOOKUP($B$59,'Aging Factor'!$A$145:$G$242,5,1)*($B$71/12500)*('Degradation Model'!$B$26/$B$61))</f>
        <v>16.992924249153951</v>
      </c>
      <c r="D102" s="13">
        <f>D101+(C89*100/I101)</f>
        <v>24.409661321080147</v>
      </c>
      <c r="E102" s="13">
        <f>((VLOOKUP($B$59,'Aging Factor'!$A$145:$H$242,8,1)-1)*F102*$B$63/7)</f>
        <v>4.9418764673771829</v>
      </c>
      <c r="F102" s="13">
        <f t="shared" si="41"/>
        <v>46.637795920280325</v>
      </c>
      <c r="G102" s="13">
        <f t="shared" si="42"/>
        <v>51.57967238765751</v>
      </c>
      <c r="H102" s="13">
        <f t="shared" si="48"/>
        <v>3.2511009770385755</v>
      </c>
      <c r="I102" s="13">
        <f t="shared" si="43"/>
        <v>48.42032761234249</v>
      </c>
      <c r="J102" s="14">
        <f t="shared" si="44"/>
        <v>136.06112059068241</v>
      </c>
      <c r="K102" s="15">
        <f t="shared" si="45"/>
        <v>39.97692528848205</v>
      </c>
      <c r="L102" s="14">
        <f t="shared" si="46"/>
        <v>112.33516006063456</v>
      </c>
    </row>
    <row r="103" spans="1:31">
      <c r="A103" s="28">
        <f t="shared" si="47"/>
        <v>15</v>
      </c>
      <c r="B103" s="13">
        <f>(VLOOKUP($B$59,'Aging Factor'!$A$145:$G$242,5,1)*SQRT(A103+$F$61-$F$63)*Calibration!$B$49)-((0.32989795*(A103+$F$61-$F$63))-1.302)</f>
        <v>22.786739568208727</v>
      </c>
      <c r="C103" s="13">
        <f>A103*$B$50*(VLOOKUP($B$59,'Aging Factor'!$A$145:$G$242,5,1)*($B$71/12500)*('Degradation Model'!$B$26/$B$61))</f>
        <v>18.206704552664945</v>
      </c>
      <c r="D103" s="13">
        <f>D102+(C89*100/I102)</f>
        <v>26.916419047357074</v>
      </c>
      <c r="E103" s="13">
        <f>((VLOOKUP($B$59,'Aging Factor'!$A$145:$H$242,8,1)-1)*F103*$B$63/7)</f>
        <v>5.266691211918312</v>
      </c>
      <c r="F103" s="13">
        <f t="shared" si="41"/>
        <v>49.703158615565798</v>
      </c>
      <c r="G103" s="13">
        <f t="shared" si="42"/>
        <v>54.969849827484111</v>
      </c>
      <c r="H103" s="13">
        <f t="shared" si="48"/>
        <v>3.3901774398266014</v>
      </c>
      <c r="I103" s="13">
        <f t="shared" si="43"/>
        <v>45.030150172515889</v>
      </c>
      <c r="J103" s="14">
        <f t="shared" si="44"/>
        <v>126.53472198476965</v>
      </c>
      <c r="K103" s="15">
        <f t="shared" si="45"/>
        <v>37.177917580155466</v>
      </c>
      <c r="L103" s="14">
        <f t="shared" si="46"/>
        <v>104.46994840023686</v>
      </c>
    </row>
    <row r="162" spans="1:12">
      <c r="A162" s="7" t="s">
        <v>80</v>
      </c>
    </row>
    <row r="164" spans="1:12">
      <c r="A164" s="29"/>
      <c r="B164" s="29" t="s">
        <v>54</v>
      </c>
      <c r="C164" s="29" t="s">
        <v>54</v>
      </c>
      <c r="D164" s="29" t="s">
        <v>2</v>
      </c>
      <c r="E164" s="29" t="s">
        <v>3</v>
      </c>
      <c r="F164" s="29" t="s">
        <v>4</v>
      </c>
      <c r="G164" s="29" t="s">
        <v>54</v>
      </c>
      <c r="H164" s="29" t="s">
        <v>55</v>
      </c>
      <c r="I164" s="29" t="s">
        <v>6</v>
      </c>
      <c r="J164" s="29" t="s">
        <v>7</v>
      </c>
      <c r="K164" s="29" t="s">
        <v>8</v>
      </c>
      <c r="L164" s="29" t="s">
        <v>8</v>
      </c>
    </row>
    <row r="165" spans="1:12">
      <c r="A165" s="29" t="s">
        <v>56</v>
      </c>
      <c r="B165" s="29" t="s">
        <v>9</v>
      </c>
      <c r="C165" s="29" t="s">
        <v>10</v>
      </c>
      <c r="D165" s="29" t="s">
        <v>10</v>
      </c>
      <c r="E165" s="29" t="s">
        <v>11</v>
      </c>
      <c r="F165" s="29" t="s">
        <v>10</v>
      </c>
      <c r="G165" s="29" t="s">
        <v>12</v>
      </c>
      <c r="H165" s="29" t="s">
        <v>57</v>
      </c>
      <c r="I165" s="29" t="s">
        <v>52</v>
      </c>
      <c r="J165" s="29" t="s">
        <v>14</v>
      </c>
      <c r="K165" s="29" t="s">
        <v>15</v>
      </c>
      <c r="L165" s="29" t="s">
        <v>14</v>
      </c>
    </row>
    <row r="166" spans="1:12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</row>
    <row r="167" spans="1:12">
      <c r="A167" s="32">
        <v>1</v>
      </c>
      <c r="B167" s="13">
        <f>(VLOOKUP(E$5,'Aging Factor'!$A$145:$G$242,5,1)*(SQRT(A167+K$5-L$5)*Calibration!$B$49)-((0.32989795*(A167+K$5-L$5)-1.302)))</f>
        <v>12.473741084783908</v>
      </c>
      <c r="C167" s="13">
        <f>A167*$B$50*(VLOOKUP(E$5,'Aging Factor'!$A$145:$G$242,5,1)*(G$5/L$5/12500)*('Degradation Model'!$B$26/F$5))</f>
        <v>2.4860481602920208</v>
      </c>
      <c r="D167" s="13">
        <f>C167</f>
        <v>2.4860481602920208</v>
      </c>
      <c r="E167" s="13">
        <f>((VLOOKUP(E$5,'Aging Factor'!$A$145:$H$242,8,1)-1)*F167*J$5/7)</f>
        <v>1.6974070071886351</v>
      </c>
      <c r="F167" s="13">
        <f t="shared" ref="F167:F181" si="49">B167+D167</f>
        <v>14.959789245075928</v>
      </c>
      <c r="G167" s="13">
        <f t="shared" ref="G167:G181" si="50">F167+E167</f>
        <v>16.657196252264562</v>
      </c>
      <c r="H167" s="13">
        <f>G167</f>
        <v>16.657196252264562</v>
      </c>
      <c r="I167" s="13">
        <f t="shared" ref="I167:I181" si="51">IF(100-G167&lt;=5,5,100-G167)</f>
        <v>83.342803747735445</v>
      </c>
      <c r="J167" s="33">
        <f t="shared" ref="J167:J181" si="52">IF(281*I167/100&gt;0,281*I167/100,0)</f>
        <v>234.1932785311366</v>
      </c>
      <c r="K167" s="15">
        <f t="shared" ref="K167:K181" si="53">IF(L167/281*100&gt;0,L167/281*100,0)</f>
        <v>68.809716973219295</v>
      </c>
      <c r="L167" s="14">
        <f t="shared" ref="L167:L181" si="54">IF(I167*232/100&gt;0,I167*232/100,0)</f>
        <v>193.35530469474622</v>
      </c>
    </row>
    <row r="168" spans="1:12">
      <c r="A168" s="28">
        <f t="shared" ref="A168:A181" si="55">A167+1</f>
        <v>2</v>
      </c>
      <c r="B168" s="13">
        <f>(VLOOKUP(E$5,'Aging Factor'!$A$145:$G$242,5,1)*(SQRT(A168+K$5-L$5)*Calibration!$B$49)-((0.32989795*(A168+K$5-L$5)-1.302)))</f>
        <v>16.154846031580487</v>
      </c>
      <c r="C168" s="13">
        <f>A168*$B$50*(VLOOKUP(E$5,'Aging Factor'!$A$145:$G$242,5,1)*(G$5/L$5/12500)*('Degradation Model'!$B$26/F$5))</f>
        <v>4.9720963205840416</v>
      </c>
      <c r="D168" s="13">
        <f>D167+(C167*100/I167)</f>
        <v>5.4689669589166359</v>
      </c>
      <c r="E168" s="13">
        <f>((VLOOKUP(E$5,'Aging Factor'!$A$145:$H$242,8,1)-1)*F168*J$5/7)</f>
        <v>2.4535380205498449</v>
      </c>
      <c r="F168" s="13">
        <f t="shared" si="49"/>
        <v>21.623812990497122</v>
      </c>
      <c r="G168" s="13">
        <f t="shared" si="50"/>
        <v>24.077351011046968</v>
      </c>
      <c r="H168" s="13">
        <f t="shared" ref="H168:H181" si="56">G168-G167</f>
        <v>7.4201547587824059</v>
      </c>
      <c r="I168" s="13">
        <f t="shared" si="51"/>
        <v>75.922648988953028</v>
      </c>
      <c r="J168" s="14">
        <f t="shared" si="52"/>
        <v>213.342643658958</v>
      </c>
      <c r="K168" s="15">
        <f t="shared" si="53"/>
        <v>62.683468204402494</v>
      </c>
      <c r="L168" s="14">
        <f t="shared" si="54"/>
        <v>176.14054565437101</v>
      </c>
    </row>
    <row r="169" spans="1:12">
      <c r="A169" s="28">
        <f t="shared" si="55"/>
        <v>3</v>
      </c>
      <c r="B169" s="13">
        <f>(VLOOKUP(E$5,'Aging Factor'!$A$145:$G$242,5,1)*(SQRT(A169+K$5-L$5)*Calibration!$B$49)-((0.32989795*(A169+K$5-L$5)-1.302)))</f>
        <v>18.997160544224062</v>
      </c>
      <c r="C169" s="13">
        <f>A169*$B$50*(VLOOKUP(E$5,'Aging Factor'!$A$145:$G$242,5,1)*(G$5/L$5/12500)*('Degradation Model'!$B$26/F$5))</f>
        <v>7.4581444808760624</v>
      </c>
      <c r="D169" s="13">
        <f>D168+(C167*100/I168)</f>
        <v>8.7434156160673471</v>
      </c>
      <c r="E169" s="13">
        <f>((VLOOKUP(E$5,'Aging Factor'!$A$145:$H$242,8,1)-1)*F169*J$5/7)</f>
        <v>3.1475743131493323</v>
      </c>
      <c r="F169" s="13">
        <f t="shared" si="49"/>
        <v>27.740576160291411</v>
      </c>
      <c r="G169" s="13">
        <f t="shared" si="50"/>
        <v>30.888150473440742</v>
      </c>
      <c r="H169" s="13">
        <f t="shared" si="56"/>
        <v>6.8107994623937742</v>
      </c>
      <c r="I169" s="13">
        <f t="shared" si="51"/>
        <v>69.111849526559254</v>
      </c>
      <c r="J169" s="14">
        <f t="shared" si="52"/>
        <v>194.2042971696315</v>
      </c>
      <c r="K169" s="15">
        <f t="shared" si="53"/>
        <v>57.060317046838961</v>
      </c>
      <c r="L169" s="14">
        <f t="shared" si="54"/>
        <v>160.33949090161747</v>
      </c>
    </row>
    <row r="170" spans="1:12">
      <c r="A170" s="28">
        <f t="shared" si="55"/>
        <v>4</v>
      </c>
      <c r="B170" s="13">
        <f>(VLOOKUP(E$5,'Aging Factor'!$A$145:$G$242,5,1)*(SQRT(A170+K$5-L$5)*Calibration!$B$49)-((0.32989795*(A170+K$5-L$5)-1.302)))</f>
        <v>21.37576974928275</v>
      </c>
      <c r="C170" s="13">
        <f>A170*$B$50*(VLOOKUP(E$5,'Aging Factor'!$A$145:$G$242,5,1)*(G$5/L$5/12500)*('Degradation Model'!$B$26/F$5))</f>
        <v>9.9441926411680832</v>
      </c>
      <c r="D170" s="13">
        <f>D169+(C167*100/I169)</f>
        <v>12.340552977203441</v>
      </c>
      <c r="E170" s="13">
        <f>((VLOOKUP(E$5,'Aging Factor'!$A$145:$H$242,8,1)-1)*F170*J$5/7)</f>
        <v>3.8256102084732686</v>
      </c>
      <c r="F170" s="13">
        <f t="shared" si="49"/>
        <v>33.71632272648619</v>
      </c>
      <c r="G170" s="13">
        <f t="shared" si="50"/>
        <v>37.541932934959462</v>
      </c>
      <c r="H170" s="13">
        <f t="shared" si="56"/>
        <v>6.6537824615187198</v>
      </c>
      <c r="I170" s="13">
        <f t="shared" si="51"/>
        <v>62.458067065040538</v>
      </c>
      <c r="J170" s="14">
        <f t="shared" si="52"/>
        <v>175.50716845276392</v>
      </c>
      <c r="K170" s="15">
        <f t="shared" si="53"/>
        <v>51.566802701385782</v>
      </c>
      <c r="L170" s="14">
        <f t="shared" si="54"/>
        <v>144.90271559089405</v>
      </c>
    </row>
    <row r="171" spans="1:12">
      <c r="A171" s="32">
        <f t="shared" si="55"/>
        <v>5</v>
      </c>
      <c r="B171" s="13">
        <f>(VLOOKUP(E$5,'Aging Factor'!$A$145:$G$242,5,1)*(SQRT(A171+K$5-L$5)*Calibration!$B$49)-((0.32989795*(A171+K$5-L$5)-1.302)))</f>
        <v>23.449031383327092</v>
      </c>
      <c r="C171" s="13">
        <f>A171*$B$50*(VLOOKUP(E$5,'Aging Factor'!$A$145:$G$242,5,1)*(G$5/L$5/12500)*('Degradation Model'!$B$26/F$5))</f>
        <v>12.430240801460105</v>
      </c>
      <c r="D171" s="13">
        <f>D170+(C167*100/I170)</f>
        <v>16.32090055616899</v>
      </c>
      <c r="E171" s="13">
        <f>((VLOOKUP(E$5,'Aging Factor'!$A$145:$H$242,8,1)-1)*F171*J$5/7)</f>
        <v>4.5124807604983825</v>
      </c>
      <c r="F171" s="13">
        <f t="shared" si="49"/>
        <v>39.769931939496082</v>
      </c>
      <c r="G171" s="13">
        <f t="shared" si="50"/>
        <v>44.282412699994467</v>
      </c>
      <c r="H171" s="13">
        <f t="shared" si="56"/>
        <v>6.7404797650350048</v>
      </c>
      <c r="I171" s="13">
        <f t="shared" si="51"/>
        <v>55.717587300005533</v>
      </c>
      <c r="J171" s="33">
        <f t="shared" si="52"/>
        <v>156.56642031301556</v>
      </c>
      <c r="K171" s="15">
        <f t="shared" si="53"/>
        <v>46.001709087549052</v>
      </c>
      <c r="L171" s="14">
        <f t="shared" si="54"/>
        <v>129.26480253601284</v>
      </c>
    </row>
    <row r="172" spans="1:12">
      <c r="A172" s="28">
        <f t="shared" si="55"/>
        <v>6</v>
      </c>
      <c r="B172" s="13">
        <f>(VLOOKUP(E$5,'Aging Factor'!$A$145:$G$242,5,1)*(SQRT(A172+K$5-L$5)*Calibration!$B$49)-((0.32989795*(A172+K$5-L$5)-1.302)))</f>
        <v>25.301573643910142</v>
      </c>
      <c r="C172" s="13">
        <f>A172*$B$50*(VLOOKUP(E$5,'Aging Factor'!$A$145:$G$242,5,1)*(G$5/L$5/12500)*('Degradation Model'!$B$26/F$5))</f>
        <v>14.916288961752125</v>
      </c>
      <c r="D172" s="13">
        <f>D171+(C167*100/I171)</f>
        <v>20.78277387258909</v>
      </c>
      <c r="E172" s="13">
        <f>((VLOOKUP(E$5,'Aging Factor'!$A$145:$H$242,8,1)-1)*F172*J$5/7)</f>
        <v>5.2289436110852749</v>
      </c>
      <c r="F172" s="13">
        <f t="shared" si="49"/>
        <v>46.084347516499236</v>
      </c>
      <c r="G172" s="13">
        <f t="shared" si="50"/>
        <v>51.313291127584513</v>
      </c>
      <c r="H172" s="13">
        <f t="shared" si="56"/>
        <v>7.0308784275900464</v>
      </c>
      <c r="I172" s="13">
        <f t="shared" si="51"/>
        <v>48.686708872415487</v>
      </c>
      <c r="J172" s="14">
        <f t="shared" si="52"/>
        <v>136.80965193148751</v>
      </c>
      <c r="K172" s="15">
        <f t="shared" si="53"/>
        <v>40.196855723844813</v>
      </c>
      <c r="L172" s="14">
        <f t="shared" si="54"/>
        <v>112.95316458400393</v>
      </c>
    </row>
    <row r="173" spans="1:12">
      <c r="A173" s="28">
        <f t="shared" si="55"/>
        <v>7</v>
      </c>
      <c r="B173" s="13">
        <f>(VLOOKUP(E$5,'Aging Factor'!$A$145:$G$242,5,1)*(SQRT(A173+K$5-L$5)*Calibration!$B$49)-((0.32989795*(A173+K$5-L$5)-1.302)))</f>
        <v>26.984929995395223</v>
      </c>
      <c r="C173" s="13">
        <f>A173*$B$50*(VLOOKUP(E$5,'Aging Factor'!$A$145:$G$242,5,1)*(G$5/L$5/12500)*('Degradation Model'!$B$26/F$5))</f>
        <v>17.402337122044145</v>
      </c>
      <c r="D173" s="13">
        <f>D172+(C167*100/I172)</f>
        <v>25.888989137224783</v>
      </c>
      <c r="E173" s="13">
        <f>((VLOOKUP(E$5,'Aging Factor'!$A$145:$H$242,8,1)-1)*F173*J$5/7)</f>
        <v>5.9993198676094659</v>
      </c>
      <c r="F173" s="13">
        <f t="shared" si="49"/>
        <v>52.873919132620003</v>
      </c>
      <c r="G173" s="13">
        <f t="shared" si="50"/>
        <v>58.873239000229468</v>
      </c>
      <c r="H173" s="13">
        <f t="shared" si="56"/>
        <v>7.5599478726449547</v>
      </c>
      <c r="I173" s="13">
        <f t="shared" si="51"/>
        <v>41.126760999770532</v>
      </c>
      <c r="J173" s="14">
        <f t="shared" si="52"/>
        <v>115.5661984093552</v>
      </c>
      <c r="K173" s="15">
        <f t="shared" si="53"/>
        <v>33.955190576322998</v>
      </c>
      <c r="L173" s="14">
        <f t="shared" si="54"/>
        <v>95.414085519467619</v>
      </c>
    </row>
    <row r="174" spans="1:12">
      <c r="A174" s="28">
        <f t="shared" si="55"/>
        <v>8</v>
      </c>
      <c r="B174" s="13">
        <f>(VLOOKUP(E$5,'Aging Factor'!$A$145:$G$242,5,1)*(SQRT(A174+K$5-L$5)*Calibration!$B$49)-((0.32989795*(A174+K$5-L$5)-1.302)))</f>
        <v>28.533242351316435</v>
      </c>
      <c r="C174" s="13">
        <f>A174*$B$50*(VLOOKUP(E$5,'Aging Factor'!$A$145:$G$242,5,1)*(G$5/L$5/12500)*('Degradation Model'!$B$26/F$5))</f>
        <v>19.888385282336166</v>
      </c>
      <c r="D174" s="13">
        <f>D173+(C167*100/I173)</f>
        <v>31.933832202560982</v>
      </c>
      <c r="E174" s="13">
        <f>((VLOOKUP(E$5,'Aging Factor'!$A$145:$H$242,8,1)-1)*F174*J$5/7)</f>
        <v>6.8608744662450762</v>
      </c>
      <c r="F174" s="13">
        <f t="shared" si="49"/>
        <v>60.467074553877417</v>
      </c>
      <c r="G174" s="13">
        <f t="shared" si="50"/>
        <v>67.327949020122489</v>
      </c>
      <c r="H174" s="13">
        <f t="shared" si="56"/>
        <v>8.454710019893021</v>
      </c>
      <c r="I174" s="13">
        <f t="shared" si="51"/>
        <v>32.672050979877511</v>
      </c>
      <c r="J174" s="14">
        <f t="shared" si="52"/>
        <v>91.808463253455812</v>
      </c>
      <c r="K174" s="15">
        <f t="shared" si="53"/>
        <v>26.974789421108834</v>
      </c>
      <c r="L174" s="14">
        <f t="shared" si="54"/>
        <v>75.799158273315825</v>
      </c>
    </row>
    <row r="175" spans="1:12">
      <c r="A175" s="28">
        <f t="shared" si="55"/>
        <v>9</v>
      </c>
      <c r="B175" s="13">
        <f>(VLOOKUP(E$5,'Aging Factor'!$A$145:$G$242,5,1)*(SQRT(A175+K$5-L$5)*Calibration!$B$49)-((0.32989795*(A175+K$5-L$5)-1.302)))</f>
        <v>29.970513446693896</v>
      </c>
      <c r="C175" s="13">
        <f>A175*$B$50*(VLOOKUP(E$5,'Aging Factor'!$A$145:$G$242,5,1)*(G$5/L$5/12500)*('Degradation Model'!$B$26/F$5))</f>
        <v>22.374433442628188</v>
      </c>
      <c r="D175" s="13">
        <f>D174+(C167*100/I174)</f>
        <v>39.542929537231402</v>
      </c>
      <c r="E175" s="13">
        <f>((VLOOKUP(E$5,'Aging Factor'!$A$145:$H$242,8,1)-1)*F175*J$5/7)</f>
        <v>7.887317346637098</v>
      </c>
      <c r="F175" s="13">
        <f t="shared" si="49"/>
        <v>69.513442983925302</v>
      </c>
      <c r="G175" s="13">
        <f t="shared" si="50"/>
        <v>77.400760330562406</v>
      </c>
      <c r="H175" s="13">
        <f t="shared" si="56"/>
        <v>10.072811310439917</v>
      </c>
      <c r="I175" s="13">
        <f t="shared" si="51"/>
        <v>22.599239669437594</v>
      </c>
      <c r="J175" s="14">
        <f t="shared" si="52"/>
        <v>63.503863471119637</v>
      </c>
      <c r="K175" s="15">
        <f t="shared" si="53"/>
        <v>18.658446986866622</v>
      </c>
      <c r="L175" s="14">
        <f t="shared" si="54"/>
        <v>52.430236033095213</v>
      </c>
    </row>
    <row r="176" spans="1:12">
      <c r="A176" s="32">
        <f t="shared" si="55"/>
        <v>10</v>
      </c>
      <c r="B176" s="13">
        <f>(VLOOKUP(E$5,'Aging Factor'!$A$145:$G$242,5,1)*(SQRT(A176+K$5-L$5)*Calibration!$B$49)-((0.32989795*(A176+K$5-L$5)-1.302)))</f>
        <v>31.314379984504917</v>
      </c>
      <c r="C176" s="13">
        <f>A176*$B$50*(VLOOKUP(E$5,'Aging Factor'!$A$145:$G$242,5,1)*(G$5/L$5/12500)*('Degradation Model'!$B$26/F$5))</f>
        <v>24.86048160292021</v>
      </c>
      <c r="D176" s="13">
        <f>D175+(C167*100/I175)</f>
        <v>50.543512727886544</v>
      </c>
      <c r="E176" s="13">
        <f>((VLOOKUP(E$5,'Aging Factor'!$A$145:$H$242,8,1)-1)*F176*J$5/7)</f>
        <v>9.2879758135258097</v>
      </c>
      <c r="F176" s="13">
        <f t="shared" si="49"/>
        <v>81.857892712391461</v>
      </c>
      <c r="G176" s="13">
        <f t="shared" si="50"/>
        <v>91.145868525917265</v>
      </c>
      <c r="H176" s="13">
        <f t="shared" si="56"/>
        <v>13.74510819535486</v>
      </c>
      <c r="I176" s="13">
        <f t="shared" si="51"/>
        <v>8.8541314740827346</v>
      </c>
      <c r="J176" s="33">
        <f t="shared" si="52"/>
        <v>24.880109442172483</v>
      </c>
      <c r="K176" s="15">
        <f t="shared" si="53"/>
        <v>7.3101726049366347</v>
      </c>
      <c r="L176" s="14">
        <f t="shared" si="54"/>
        <v>20.541585019871945</v>
      </c>
    </row>
    <row r="177" spans="1:12">
      <c r="A177" s="28">
        <f t="shared" si="55"/>
        <v>11</v>
      </c>
      <c r="B177" s="13">
        <f>(VLOOKUP(E$5,'Aging Factor'!$A$145:$G$242,5,1)*(SQRT(A177+K$5-L$5)*Calibration!$B$49)-((0.32989795*(A177+K$5-L$5)-1.302)))</f>
        <v>32.578252128057791</v>
      </c>
      <c r="C177" s="13">
        <f>A177*$B$50*(VLOOKUP(E$5,'Aging Factor'!$A$145:$G$242,5,1)*(G$5/L$5/12500)*('Degradation Model'!$B$26/F$5))</f>
        <v>27.346529763212228</v>
      </c>
      <c r="D177" s="13">
        <f>D176+(C167*100/I176)</f>
        <v>78.621344727208296</v>
      </c>
      <c r="E177" s="13">
        <f>((VLOOKUP(E$5,'Aging Factor'!$A$145:$H$242,8,1)-1)*F177*J$5/7)</f>
        <v>12.617221526754333</v>
      </c>
      <c r="F177" s="13">
        <f t="shared" si="49"/>
        <v>111.19959685526609</v>
      </c>
      <c r="G177" s="13">
        <f t="shared" si="50"/>
        <v>123.81681838202043</v>
      </c>
      <c r="H177" s="13">
        <f t="shared" si="56"/>
        <v>32.670949856103164</v>
      </c>
      <c r="I177" s="13">
        <f t="shared" si="51"/>
        <v>5</v>
      </c>
      <c r="J177" s="14">
        <f t="shared" si="52"/>
        <v>14.05</v>
      </c>
      <c r="K177" s="15">
        <f t="shared" si="53"/>
        <v>4.1281138790035588</v>
      </c>
      <c r="L177" s="14">
        <f t="shared" si="54"/>
        <v>11.6</v>
      </c>
    </row>
    <row r="178" spans="1:12">
      <c r="A178" s="28">
        <f t="shared" si="55"/>
        <v>12</v>
      </c>
      <c r="B178" s="13">
        <f>(VLOOKUP(E$5,'Aging Factor'!$A$145:$G$242,5,1)*(SQRT(A178+K$5-L$5)*Calibration!$B$49)-((0.32989795*(A178+K$5-L$5)-1.302)))</f>
        <v>33.772608708139764</v>
      </c>
      <c r="C178" s="13">
        <f>A178*$B$50*(VLOOKUP(E$5,'Aging Factor'!$A$145:$G$242,5,1)*(G$5/L$5/12500)*('Degradation Model'!$B$26/F$5))</f>
        <v>29.83257792350425</v>
      </c>
      <c r="D178" s="13">
        <f>D177+(C167*100/I177)</f>
        <v>128.34230793304872</v>
      </c>
      <c r="E178" s="13">
        <f>((VLOOKUP(E$5,'Aging Factor'!$A$145:$H$242,8,1)-1)*F178*J$5/7)</f>
        <v>18.39430963689075</v>
      </c>
      <c r="F178" s="13">
        <f t="shared" si="49"/>
        <v>162.11491664118847</v>
      </c>
      <c r="G178" s="13">
        <f t="shared" si="50"/>
        <v>180.50922627807921</v>
      </c>
      <c r="H178" s="13">
        <f t="shared" si="56"/>
        <v>56.692407896058782</v>
      </c>
      <c r="I178" s="13">
        <f t="shared" si="51"/>
        <v>5</v>
      </c>
      <c r="J178" s="14">
        <f t="shared" si="52"/>
        <v>14.05</v>
      </c>
      <c r="K178" s="15">
        <f t="shared" si="53"/>
        <v>4.1281138790035588</v>
      </c>
      <c r="L178" s="14">
        <f t="shared" si="54"/>
        <v>11.6</v>
      </c>
    </row>
    <row r="179" spans="1:12">
      <c r="A179" s="28">
        <f t="shared" si="55"/>
        <v>13</v>
      </c>
      <c r="B179" s="13">
        <f>(VLOOKUP(E$5,'Aging Factor'!$A$145:$G$242,5,1)*(SQRT(A179+K$5-L$5)*Calibration!$B$49)-((0.32989795*(A179+K$5-L$5)-1.302)))</f>
        <v>34.905822822963074</v>
      </c>
      <c r="C179" s="13">
        <f>A179*$B$50*(VLOOKUP(E$5,'Aging Factor'!$A$145:$G$242,5,1)*(G$5/L$5/12500)*('Degradation Model'!$B$26/F$5))</f>
        <v>32.318626083796268</v>
      </c>
      <c r="D179" s="13">
        <f>D178+(C167*100/I178)</f>
        <v>178.06327113888915</v>
      </c>
      <c r="E179" s="13">
        <f>((VLOOKUP(E$5,'Aging Factor'!$A$145:$H$242,8,1)-1)*F179*J$5/7)</f>
        <v>24.164460239601993</v>
      </c>
      <c r="F179" s="13">
        <f t="shared" si="49"/>
        <v>212.96909396185222</v>
      </c>
      <c r="G179" s="13">
        <f t="shared" si="50"/>
        <v>237.13355420145422</v>
      </c>
      <c r="H179" s="13">
        <f t="shared" si="56"/>
        <v>56.624327923375006</v>
      </c>
      <c r="I179" s="13">
        <f t="shared" si="51"/>
        <v>5</v>
      </c>
      <c r="J179" s="14">
        <f t="shared" si="52"/>
        <v>14.05</v>
      </c>
      <c r="K179" s="15">
        <f t="shared" si="53"/>
        <v>4.1281138790035588</v>
      </c>
      <c r="L179" s="14">
        <f t="shared" si="54"/>
        <v>11.6</v>
      </c>
    </row>
    <row r="180" spans="1:12">
      <c r="A180" s="28">
        <f t="shared" si="55"/>
        <v>14</v>
      </c>
      <c r="B180" s="13">
        <f>(VLOOKUP(E$5,'Aging Factor'!$A$145:$G$242,5,1)*(SQRT(A180+K$5-L$5)*Calibration!$B$49)-((0.32989795*(A180+K$5-L$5)-1.302)))</f>
        <v>35.984710549874578</v>
      </c>
      <c r="C180" s="13">
        <f>A180*$B$50*(VLOOKUP(E$5,'Aging Factor'!$A$145:$G$242,5,1)*(G$5/L$5/12500)*('Degradation Model'!$B$26/F$5))</f>
        <v>34.804674244088289</v>
      </c>
      <c r="D180" s="13">
        <f>D179+(C167*100/I179)</f>
        <v>227.78423434472955</v>
      </c>
      <c r="E180" s="13">
        <f>((VLOOKUP(E$5,'Aging Factor'!$A$145:$H$242,8,1)-1)*F180*J$5/7)</f>
        <v>29.928446718607603</v>
      </c>
      <c r="F180" s="13">
        <f t="shared" si="49"/>
        <v>263.76894489460415</v>
      </c>
      <c r="G180" s="13">
        <f t="shared" si="50"/>
        <v>293.69739161321172</v>
      </c>
      <c r="H180" s="13">
        <f t="shared" si="56"/>
        <v>56.563837411757504</v>
      </c>
      <c r="I180" s="13">
        <f t="shared" si="51"/>
        <v>5</v>
      </c>
      <c r="J180" s="14">
        <f t="shared" si="52"/>
        <v>14.05</v>
      </c>
      <c r="K180" s="15">
        <f t="shared" si="53"/>
        <v>4.1281138790035588</v>
      </c>
      <c r="L180" s="14">
        <f t="shared" si="54"/>
        <v>11.6</v>
      </c>
    </row>
    <row r="181" spans="1:12">
      <c r="A181" s="28">
        <f t="shared" si="55"/>
        <v>15</v>
      </c>
      <c r="B181" s="13">
        <f>(VLOOKUP(E$5,'Aging Factor'!$A$145:$G$242,5,1)*(SQRT(A181+K$5-L$5)*Calibration!$B$49)-((0.32989795*(A181+K$5-L$5)-1.302)))</f>
        <v>37.014908457821754</v>
      </c>
      <c r="C181" s="13">
        <f>A181*$B$50*(VLOOKUP(E$5,'Aging Factor'!$A$145:$G$242,5,1)*(G$5/L$5/12500)*('Degradation Model'!$B$26/F$5))</f>
        <v>37.290722404380311</v>
      </c>
      <c r="D181" s="13">
        <f>D180+(C167*100/I180)</f>
        <v>277.50519755056996</v>
      </c>
      <c r="E181" s="13">
        <f>((VLOOKUP(E$5,'Aging Factor'!$A$145:$H$242,8,1)-1)*F181*J$5/7)</f>
        <v>35.686908625138642</v>
      </c>
      <c r="F181" s="13">
        <f t="shared" si="49"/>
        <v>314.52010600839174</v>
      </c>
      <c r="G181" s="13">
        <f t="shared" si="50"/>
        <v>350.20701463353038</v>
      </c>
      <c r="H181" s="13">
        <f t="shared" si="56"/>
        <v>56.509623020318656</v>
      </c>
      <c r="I181" s="13">
        <f t="shared" si="51"/>
        <v>5</v>
      </c>
      <c r="J181" s="14">
        <f t="shared" si="52"/>
        <v>14.05</v>
      </c>
      <c r="K181" s="15">
        <f t="shared" si="53"/>
        <v>4.1281138790035588</v>
      </c>
      <c r="L181" s="14">
        <f t="shared" si="54"/>
        <v>11.6</v>
      </c>
    </row>
    <row r="184" spans="1:12">
      <c r="A184" s="7" t="s">
        <v>82</v>
      </c>
    </row>
    <row r="186" spans="1:12">
      <c r="A186" s="29"/>
      <c r="B186" s="29" t="s">
        <v>54</v>
      </c>
      <c r="C186" s="29" t="s">
        <v>54</v>
      </c>
      <c r="D186" s="29" t="s">
        <v>2</v>
      </c>
      <c r="E186" s="29" t="s">
        <v>3</v>
      </c>
      <c r="F186" s="29" t="s">
        <v>4</v>
      </c>
      <c r="G186" s="29" t="s">
        <v>54</v>
      </c>
      <c r="H186" s="29" t="s">
        <v>55</v>
      </c>
      <c r="I186" s="29" t="s">
        <v>6</v>
      </c>
      <c r="J186" s="29" t="s">
        <v>7</v>
      </c>
      <c r="K186" s="29" t="s">
        <v>8</v>
      </c>
      <c r="L186" s="29" t="s">
        <v>8</v>
      </c>
    </row>
    <row r="187" spans="1:12">
      <c r="A187" s="29" t="s">
        <v>56</v>
      </c>
      <c r="B187" s="29" t="s">
        <v>9</v>
      </c>
      <c r="C187" s="29" t="s">
        <v>10</v>
      </c>
      <c r="D187" s="29" t="s">
        <v>10</v>
      </c>
      <c r="E187" s="29" t="s">
        <v>11</v>
      </c>
      <c r="F187" s="29" t="s">
        <v>10</v>
      </c>
      <c r="G187" s="29" t="s">
        <v>12</v>
      </c>
      <c r="H187" s="29" t="s">
        <v>57</v>
      </c>
      <c r="I187" s="29" t="s">
        <v>52</v>
      </c>
      <c r="J187" s="29" t="s">
        <v>14</v>
      </c>
      <c r="K187" s="29" t="s">
        <v>15</v>
      </c>
      <c r="L187" s="29" t="s">
        <v>14</v>
      </c>
    </row>
    <row r="188" spans="1:12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</row>
    <row r="189" spans="1:12">
      <c r="A189" s="32">
        <v>1</v>
      </c>
      <c r="B189" s="13">
        <f>(VLOOKUP(E$6,'Aging Factor'!$A$145:$G$242,5,1)*(SQRT(A189+K$6-L$6)*Calibration!$B$49)-((0.32989795*(A189+K$6-L$6)-1.302)))</f>
        <v>8.1412081043766431</v>
      </c>
      <c r="C189" s="13">
        <f>A189*$B$50*(VLOOKUP(E$6,'Aging Factor'!$A$145:$G$242,5,1)*(G$6/L$6/12500)*('Degradation Model'!$B$26/F$6))</f>
        <v>2.4846071773704064</v>
      </c>
      <c r="D189" s="13">
        <f>C189</f>
        <v>2.4846071773704064</v>
      </c>
      <c r="E189" s="13">
        <f>((VLOOKUP(E$6,'Aging Factor'!$A$145:$H$242,8,1)-1)*F189*J$6/7)</f>
        <v>1.4074278557600135</v>
      </c>
      <c r="F189" s="13">
        <f t="shared" ref="F189:F203" si="57">B189+D189</f>
        <v>10.62581528174705</v>
      </c>
      <c r="G189" s="13">
        <f t="shared" ref="G189:G203" si="58">F189+E189</f>
        <v>12.033243137507064</v>
      </c>
      <c r="H189" s="13">
        <f>G189</f>
        <v>12.033243137507064</v>
      </c>
      <c r="I189" s="13">
        <f t="shared" ref="I189:I203" si="59">IF(100-G189&lt;=5,5,100-G189)</f>
        <v>87.966756862492929</v>
      </c>
      <c r="J189" s="33">
        <f t="shared" ref="J189:J203" si="60">IF(281*I189/100&gt;0,281*I189/100,0)</f>
        <v>247.18658678360512</v>
      </c>
      <c r="K189" s="15">
        <f t="shared" ref="K189:K203" si="61">IF(L189/281*100&gt;0,L189/281*100,0)</f>
        <v>72.627357978997736</v>
      </c>
      <c r="L189" s="14">
        <f t="shared" ref="L189:L203" si="62">IF(I189*232/100&gt;0,I189*232/100,0)</f>
        <v>204.08287592098361</v>
      </c>
    </row>
    <row r="190" spans="1:12">
      <c r="A190" s="28">
        <f t="shared" ref="A190:A203" si="63">A189+1</f>
        <v>2</v>
      </c>
      <c r="B190" s="13">
        <f>(VLOOKUP(E$6,'Aging Factor'!$A$145:$G$242,5,1)*(SQRT(A190+K$6-L$6)*Calibration!$B$49)-((0.32989795*(A190+K$6-L$6)-1.302)))</f>
        <v>10.513977867857708</v>
      </c>
      <c r="C190" s="13">
        <f>A190*$B$50*(VLOOKUP(E$6,'Aging Factor'!$A$145:$G$242,5,1)*(G$6/L$6/12500)*('Degradation Model'!$B$26/F$6))</f>
        <v>4.9692143547408127</v>
      </c>
      <c r="D190" s="13">
        <f>D189+(C189*100/I189)</f>
        <v>5.3090914098109314</v>
      </c>
      <c r="E190" s="13">
        <f>((VLOOKUP(E$6,'Aging Factor'!$A$145:$H$242,8,1)-1)*F190*J$6/7)</f>
        <v>2.0958230379993781</v>
      </c>
      <c r="F190" s="13">
        <f t="shared" si="57"/>
        <v>15.82306927766864</v>
      </c>
      <c r="G190" s="13">
        <f t="shared" si="58"/>
        <v>17.918892315668018</v>
      </c>
      <c r="H190" s="13">
        <f t="shared" ref="H190:H203" si="64">G190-G189</f>
        <v>5.8856491781609535</v>
      </c>
      <c r="I190" s="13">
        <f t="shared" si="59"/>
        <v>82.081107684331982</v>
      </c>
      <c r="J190" s="14">
        <f t="shared" si="60"/>
        <v>230.64791259297286</v>
      </c>
      <c r="K190" s="15">
        <f t="shared" si="61"/>
        <v>67.7680319671353</v>
      </c>
      <c r="L190" s="14">
        <f t="shared" si="62"/>
        <v>190.42816982765021</v>
      </c>
    </row>
    <row r="191" spans="1:12">
      <c r="A191" s="28">
        <f t="shared" si="63"/>
        <v>3</v>
      </c>
      <c r="B191" s="13">
        <f>(VLOOKUP(E$6,'Aging Factor'!$A$145:$G$242,5,1)*(SQRT(A191+K$6-L$6)*Calibration!$B$49)-((0.32989795*(A191+K$6-L$6)-1.302)))</f>
        <v>12.293791320122951</v>
      </c>
      <c r="C191" s="13">
        <f>A191*$B$50*(VLOOKUP(E$6,'Aging Factor'!$A$145:$G$242,5,1)*(G$6/L$6/12500)*('Degradation Model'!$B$26/F$6))</f>
        <v>7.4538215321112187</v>
      </c>
      <c r="D191" s="13">
        <f>D190+(C189*100/I190)</f>
        <v>8.3361060876899433</v>
      </c>
      <c r="E191" s="13">
        <f>((VLOOKUP(E$6,'Aging Factor'!$A$145:$H$242,8,1)-1)*F191*J$6/7)</f>
        <v>2.7325048952341038</v>
      </c>
      <c r="F191" s="13">
        <f t="shared" si="57"/>
        <v>20.629897407812894</v>
      </c>
      <c r="G191" s="13">
        <f t="shared" si="58"/>
        <v>23.362402303046998</v>
      </c>
      <c r="H191" s="13">
        <f t="shared" si="64"/>
        <v>5.443509987378981</v>
      </c>
      <c r="I191" s="13">
        <f t="shared" si="59"/>
        <v>76.637597696953009</v>
      </c>
      <c r="J191" s="14">
        <f t="shared" si="60"/>
        <v>215.35164952843795</v>
      </c>
      <c r="K191" s="15">
        <f t="shared" si="61"/>
        <v>63.273746141256581</v>
      </c>
      <c r="L191" s="14">
        <f t="shared" si="62"/>
        <v>177.79922665693098</v>
      </c>
    </row>
    <row r="192" spans="1:12">
      <c r="A192" s="28">
        <f t="shared" si="63"/>
        <v>4</v>
      </c>
      <c r="B192" s="13">
        <f>(VLOOKUP(E$6,'Aging Factor'!$A$145:$G$242,5,1)*(SQRT(A192+K$6-L$6)*Calibration!$B$49)-((0.32989795*(A192+K$6-L$6)-1.302)))</f>
        <v>13.755061113594765</v>
      </c>
      <c r="C192" s="13">
        <f>A192*$B$50*(VLOOKUP(E$6,'Aging Factor'!$A$145:$G$242,5,1)*(G$6/L$6/12500)*('Degradation Model'!$B$26/F$6))</f>
        <v>9.9384287094816255</v>
      </c>
      <c r="D192" s="13">
        <f>D191+(C189*100/I191)</f>
        <v>11.578127304476062</v>
      </c>
      <c r="E192" s="13">
        <f>((VLOOKUP(E$6,'Aging Factor'!$A$145:$H$242,8,1)-1)*F192*J$6/7)</f>
        <v>3.3554728846131097</v>
      </c>
      <c r="F192" s="13">
        <f t="shared" si="57"/>
        <v>25.333188418070826</v>
      </c>
      <c r="G192" s="13">
        <f t="shared" si="58"/>
        <v>28.688661302683936</v>
      </c>
      <c r="H192" s="13">
        <f t="shared" si="64"/>
        <v>5.3262589996369378</v>
      </c>
      <c r="I192" s="13">
        <f t="shared" si="59"/>
        <v>71.31133869731606</v>
      </c>
      <c r="J192" s="14">
        <f t="shared" si="60"/>
        <v>200.38486173945813</v>
      </c>
      <c r="K192" s="15">
        <f t="shared" si="61"/>
        <v>58.876265401342785</v>
      </c>
      <c r="L192" s="14">
        <f t="shared" si="62"/>
        <v>165.44230577777324</v>
      </c>
    </row>
    <row r="193" spans="1:12">
      <c r="A193" s="32">
        <f t="shared" si="63"/>
        <v>5</v>
      </c>
      <c r="B193" s="13">
        <f>(VLOOKUP(E$6,'Aging Factor'!$A$145:$G$242,5,1)*(SQRT(A193+K$6-L$6)*Calibration!$B$49)-((0.32989795*(A193+K$6-L$6)-1.302)))</f>
        <v>15.009358422378979</v>
      </c>
      <c r="C193" s="13">
        <f>A193*$B$50*(VLOOKUP(E$6,'Aging Factor'!$A$145:$G$242,5,1)*(G$6/L$6/12500)*('Degradation Model'!$B$26/F$6))</f>
        <v>12.423035886852032</v>
      </c>
      <c r="D193" s="13">
        <f>D192+(C189*100/I192)</f>
        <v>15.062295772994688</v>
      </c>
      <c r="E193" s="13">
        <f>((VLOOKUP(E$6,'Aging Factor'!$A$145:$H$242,8,1)-1)*F193*J$6/7)</f>
        <v>3.983099899737077</v>
      </c>
      <c r="F193" s="13">
        <f t="shared" si="57"/>
        <v>30.071654195373668</v>
      </c>
      <c r="G193" s="13">
        <f t="shared" si="58"/>
        <v>34.054754095110745</v>
      </c>
      <c r="H193" s="13">
        <f t="shared" si="64"/>
        <v>5.3660927924268087</v>
      </c>
      <c r="I193" s="13">
        <f t="shared" si="59"/>
        <v>65.945245904889248</v>
      </c>
      <c r="J193" s="33">
        <f t="shared" si="60"/>
        <v>185.30614099273879</v>
      </c>
      <c r="K193" s="15">
        <f t="shared" si="61"/>
        <v>54.445896974855188</v>
      </c>
      <c r="L193" s="14">
        <f t="shared" si="62"/>
        <v>152.99297049934307</v>
      </c>
    </row>
    <row r="194" spans="1:12">
      <c r="A194" s="28">
        <f t="shared" si="63"/>
        <v>6</v>
      </c>
      <c r="B194" s="13">
        <f>(VLOOKUP(E$6,'Aging Factor'!$A$145:$G$242,5,1)*(SQRT(A194+K$6-L$6)*Calibration!$B$49)-((0.32989795*(A194+K$6-L$6)-1.302)))</f>
        <v>16.115220130532208</v>
      </c>
      <c r="C194" s="13">
        <f>A194*$B$50*(VLOOKUP(E$6,'Aging Factor'!$A$145:$G$242,5,1)*(G$6/L$6/12500)*('Degradation Model'!$B$26/F$6))</f>
        <v>14.907643064222437</v>
      </c>
      <c r="D194" s="13">
        <f>D193+(C189*100/I193)</f>
        <v>18.829977799617012</v>
      </c>
      <c r="E194" s="13">
        <f>((VLOOKUP(E$6,'Aging Factor'!$A$145:$H$242,8,1)-1)*F194*J$6/7)</f>
        <v>4.6286184812966891</v>
      </c>
      <c r="F194" s="13">
        <f t="shared" si="57"/>
        <v>34.94519793014922</v>
      </c>
      <c r="G194" s="13">
        <f t="shared" si="58"/>
        <v>39.573816411445911</v>
      </c>
      <c r="H194" s="13">
        <f t="shared" si="64"/>
        <v>5.519062316335166</v>
      </c>
      <c r="I194" s="13">
        <f t="shared" si="59"/>
        <v>60.426183588554089</v>
      </c>
      <c r="J194" s="14">
        <f t="shared" si="60"/>
        <v>169.79757588383697</v>
      </c>
      <c r="K194" s="15">
        <f t="shared" si="61"/>
        <v>49.889233425425438</v>
      </c>
      <c r="L194" s="14">
        <f t="shared" si="62"/>
        <v>140.18874592544549</v>
      </c>
    </row>
    <row r="195" spans="1:12">
      <c r="A195" s="28">
        <f t="shared" si="63"/>
        <v>7</v>
      </c>
      <c r="B195" s="13">
        <f>(VLOOKUP(E$6,'Aging Factor'!$A$145:$G$242,5,1)*(SQRT(A195+K$6-L$6)*Calibration!$B$49)-((0.32989795*(A195+K$6-L$6)-1.302)))</f>
        <v>17.107895189412908</v>
      </c>
      <c r="C195" s="13">
        <f>A195*$B$50*(VLOOKUP(E$6,'Aging Factor'!$A$145:$G$242,5,1)*(G$6/L$6/12500)*('Degradation Model'!$B$26/F$6))</f>
        <v>17.392250241592844</v>
      </c>
      <c r="D195" s="13">
        <f>D194+(C189*100/I194)</f>
        <v>22.941783361074048</v>
      </c>
      <c r="E195" s="13">
        <f>((VLOOKUP(E$6,'Aging Factor'!$A$145:$H$242,8,1)-1)*F195*J$6/7)</f>
        <v>5.3047254927362193</v>
      </c>
      <c r="F195" s="13">
        <f t="shared" si="57"/>
        <v>40.049678550486959</v>
      </c>
      <c r="G195" s="13">
        <f t="shared" si="58"/>
        <v>45.354404043223177</v>
      </c>
      <c r="H195" s="13">
        <f t="shared" si="64"/>
        <v>5.7805876317772658</v>
      </c>
      <c r="I195" s="13">
        <f t="shared" si="59"/>
        <v>54.645595956776823</v>
      </c>
      <c r="J195" s="14">
        <f t="shared" si="60"/>
        <v>153.55412463854287</v>
      </c>
      <c r="K195" s="15">
        <f t="shared" si="61"/>
        <v>45.116648619118237</v>
      </c>
      <c r="L195" s="14">
        <f t="shared" si="62"/>
        <v>126.77778261972225</v>
      </c>
    </row>
    <row r="196" spans="1:12">
      <c r="A196" s="28">
        <f t="shared" si="63"/>
        <v>8</v>
      </c>
      <c r="B196" s="13">
        <f>(VLOOKUP(E$6,'Aging Factor'!$A$145:$G$242,5,1)*(SQRT(A196+K$6-L$6)*Calibration!$B$49)-((0.32989795*(A196+K$6-L$6)-1.302)))</f>
        <v>18.01056039674507</v>
      </c>
      <c r="C196" s="13">
        <f>A196*$B$50*(VLOOKUP(E$6,'Aging Factor'!$A$145:$G$242,5,1)*(G$6/L$6/12500)*('Degradation Model'!$B$26/F$6))</f>
        <v>19.876857418963251</v>
      </c>
      <c r="D196" s="13">
        <f>D195+(C189*100/I195)</f>
        <v>27.488548994915178</v>
      </c>
      <c r="E196" s="13">
        <f>((VLOOKUP(E$6,'Aging Factor'!$A$145:$H$242,8,1)-1)*F196*J$6/7)</f>
        <v>6.0265224147173422</v>
      </c>
      <c r="F196" s="13">
        <f t="shared" si="57"/>
        <v>45.499109391660248</v>
      </c>
      <c r="G196" s="13">
        <f t="shared" si="58"/>
        <v>51.525631806377589</v>
      </c>
      <c r="H196" s="13">
        <f t="shared" si="64"/>
        <v>6.1712277631544126</v>
      </c>
      <c r="I196" s="13">
        <f t="shared" si="59"/>
        <v>48.474368193622411</v>
      </c>
      <c r="J196" s="14">
        <f t="shared" si="60"/>
        <v>136.21297462407898</v>
      </c>
      <c r="K196" s="15">
        <f t="shared" si="61"/>
        <v>40.021542423204274</v>
      </c>
      <c r="L196" s="14">
        <f t="shared" si="62"/>
        <v>112.460534209204</v>
      </c>
    </row>
    <row r="197" spans="1:12">
      <c r="A197" s="28">
        <f t="shared" si="63"/>
        <v>9</v>
      </c>
      <c r="B197" s="13">
        <f>(VLOOKUP(E$6,'Aging Factor'!$A$145:$G$242,5,1)*(SQRT(A197+K$6-L$6)*Calibration!$B$49)-((0.32989795*(A197+K$6-L$6)-1.302)))</f>
        <v>18.839420402904715</v>
      </c>
      <c r="C197" s="13">
        <f>A197*$B$50*(VLOOKUP(E$6,'Aging Factor'!$A$145:$G$242,5,1)*(G$6/L$6/12500)*('Degradation Model'!$B$26/F$6))</f>
        <v>22.361464596333658</v>
      </c>
      <c r="D197" s="13">
        <f>D196+(C189*100/I196)</f>
        <v>32.614159229681057</v>
      </c>
      <c r="E197" s="13">
        <f>((VLOOKUP(E$6,'Aging Factor'!$A$145:$H$242,8,1)-1)*F197*J$6/7)</f>
        <v>6.8152136408643447</v>
      </c>
      <c r="F197" s="13">
        <f t="shared" si="57"/>
        <v>51.453579632585772</v>
      </c>
      <c r="G197" s="13">
        <f t="shared" si="58"/>
        <v>58.268793273450115</v>
      </c>
      <c r="H197" s="13">
        <f t="shared" si="64"/>
        <v>6.7431614670725253</v>
      </c>
      <c r="I197" s="13">
        <f t="shared" si="59"/>
        <v>41.731206726549885</v>
      </c>
      <c r="J197" s="14">
        <f t="shared" si="60"/>
        <v>117.26469090160518</v>
      </c>
      <c r="K197" s="15">
        <f t="shared" si="61"/>
        <v>34.454234735087446</v>
      </c>
      <c r="L197" s="14">
        <f t="shared" si="62"/>
        <v>96.81639960559572</v>
      </c>
    </row>
    <row r="198" spans="1:12">
      <c r="A198" s="32">
        <f t="shared" si="63"/>
        <v>10</v>
      </c>
      <c r="B198" s="13">
        <f>(VLOOKUP(E$6,'Aging Factor'!$A$145:$G$242,5,1)*(SQRT(A198+K$6-L$6)*Calibration!$B$49)-((0.32989795*(A198+K$6-L$6)-1.302)))</f>
        <v>19.606332423538099</v>
      </c>
      <c r="C198" s="13">
        <f>A198*$B$50*(VLOOKUP(E$6,'Aging Factor'!$A$145:$G$242,5,1)*(G$6/L$6/12500)*('Degradation Model'!$B$26/F$6))</f>
        <v>24.846071773704065</v>
      </c>
      <c r="D198" s="13">
        <f>D197+(C189*100/I197)</f>
        <v>38.56799419460593</v>
      </c>
      <c r="E198" s="13">
        <f>((VLOOKUP(E$6,'Aging Factor'!$A$145:$H$242,8,1)-1)*F198*J$6/7)</f>
        <v>7.7054010070270493</v>
      </c>
      <c r="F198" s="13">
        <f t="shared" si="57"/>
        <v>58.174326618144029</v>
      </c>
      <c r="G198" s="13">
        <f t="shared" si="58"/>
        <v>65.879727625171085</v>
      </c>
      <c r="H198" s="13">
        <f t="shared" si="64"/>
        <v>7.6109343517209709</v>
      </c>
      <c r="I198" s="13">
        <f t="shared" si="59"/>
        <v>34.120272374828915</v>
      </c>
      <c r="J198" s="33">
        <f t="shared" si="60"/>
        <v>95.877965373269248</v>
      </c>
      <c r="K198" s="15">
        <f t="shared" si="61"/>
        <v>28.170473989182593</v>
      </c>
      <c r="L198" s="14">
        <f t="shared" si="62"/>
        <v>79.159031909603087</v>
      </c>
    </row>
    <row r="199" spans="1:12">
      <c r="A199" s="28">
        <f t="shared" si="63"/>
        <v>11</v>
      </c>
      <c r="B199" s="13">
        <f>(VLOOKUP(E$6,'Aging Factor'!$A$145:$G$242,5,1)*(SQRT(A199+K$6-L$6)*Calibration!$B$49)-((0.32989795*(A199+K$6-L$6)-1.302)))</f>
        <v>20.320282591667148</v>
      </c>
      <c r="C199" s="13">
        <f>A199*$B$50*(VLOOKUP(E$6,'Aging Factor'!$A$145:$G$242,5,1)*(G$6/L$6/12500)*('Degradation Model'!$B$26/F$6))</f>
        <v>27.330678951074471</v>
      </c>
      <c r="D199" s="13">
        <f>D198+(C189*100/I198)</f>
        <v>45.849903172575701</v>
      </c>
      <c r="E199" s="13">
        <f>((VLOOKUP(E$6,'Aging Factor'!$A$145:$H$242,8,1)-1)*F199*J$6/7)</f>
        <v>8.7644816135085399</v>
      </c>
      <c r="F199" s="13">
        <f t="shared" si="57"/>
        <v>66.170185764242845</v>
      </c>
      <c r="G199" s="13">
        <f t="shared" si="58"/>
        <v>74.934667377751381</v>
      </c>
      <c r="H199" s="13">
        <f t="shared" si="64"/>
        <v>9.0549397525802959</v>
      </c>
      <c r="I199" s="13">
        <f t="shared" si="59"/>
        <v>25.065332622248619</v>
      </c>
      <c r="J199" s="14">
        <f t="shared" si="60"/>
        <v>70.43358466851862</v>
      </c>
      <c r="K199" s="15">
        <f t="shared" si="61"/>
        <v>20.694509495949038</v>
      </c>
      <c r="L199" s="14">
        <f t="shared" si="62"/>
        <v>58.151571683616794</v>
      </c>
    </row>
    <row r="200" spans="1:12">
      <c r="A200" s="28">
        <f t="shared" si="63"/>
        <v>12</v>
      </c>
      <c r="B200" s="13">
        <f>(VLOOKUP(E$6,'Aging Factor'!$A$145:$G$242,5,1)*(SQRT(A200+K$6-L$6)*Calibration!$B$49)-((0.32989795*(A200+K$6-L$6)-1.302)))</f>
        <v>20.988274152268414</v>
      </c>
      <c r="C200" s="13">
        <f>A200*$B$50*(VLOOKUP(E$6,'Aging Factor'!$A$145:$G$242,5,1)*(G$6/L$6/12500)*('Degradation Model'!$B$26/F$6))</f>
        <v>29.815286128444875</v>
      </c>
      <c r="D200" s="13">
        <f>D199+(C189*100/I199)</f>
        <v>55.762427433933425</v>
      </c>
      <c r="E200" s="13">
        <f>((VLOOKUP(E$6,'Aging Factor'!$A$145:$H$242,8,1)-1)*F200*J$6/7)</f>
        <v>10.165909391169501</v>
      </c>
      <c r="F200" s="13">
        <f t="shared" si="57"/>
        <v>76.750701586201842</v>
      </c>
      <c r="G200" s="13">
        <f t="shared" si="58"/>
        <v>86.916610977371349</v>
      </c>
      <c r="H200" s="13">
        <f t="shared" si="64"/>
        <v>11.981943599619967</v>
      </c>
      <c r="I200" s="13">
        <f t="shared" si="59"/>
        <v>13.083389022628651</v>
      </c>
      <c r="J200" s="14">
        <f t="shared" si="60"/>
        <v>36.76432315358651</v>
      </c>
      <c r="K200" s="15">
        <f t="shared" si="61"/>
        <v>10.801943961743227</v>
      </c>
      <c r="L200" s="14">
        <f t="shared" si="62"/>
        <v>30.353462532498469</v>
      </c>
    </row>
    <row r="201" spans="1:12">
      <c r="A201" s="28">
        <f t="shared" si="63"/>
        <v>13</v>
      </c>
      <c r="B201" s="13">
        <f>(VLOOKUP(E$6,'Aging Factor'!$A$145:$G$242,5,1)*(SQRT(A201+K$6-L$6)*Calibration!$B$49)-((0.32989795*(A201+K$6-L$6)-1.302)))</f>
        <v>21.615890804785931</v>
      </c>
      <c r="C201" s="13">
        <f>A201*$B$50*(VLOOKUP(E$6,'Aging Factor'!$A$145:$G$242,5,1)*(G$6/L$6/12500)*('Degradation Model'!$B$26/F$6))</f>
        <v>32.299893305815282</v>
      </c>
      <c r="D201" s="13">
        <f>D200+(C189*100/I200)</f>
        <v>74.752974707832422</v>
      </c>
      <c r="E201" s="13">
        <f>((VLOOKUP(E$6,'Aging Factor'!$A$145:$H$242,8,1)-1)*F201*J$6/7)</f>
        <v>12.764406509440988</v>
      </c>
      <c r="F201" s="13">
        <f t="shared" si="57"/>
        <v>96.368865512618356</v>
      </c>
      <c r="G201" s="13">
        <f t="shared" si="58"/>
        <v>109.13327202205934</v>
      </c>
      <c r="H201" s="13">
        <f t="shared" si="64"/>
        <v>22.216661044687996</v>
      </c>
      <c r="I201" s="13">
        <f t="shared" si="59"/>
        <v>5</v>
      </c>
      <c r="J201" s="14">
        <f t="shared" si="60"/>
        <v>14.05</v>
      </c>
      <c r="K201" s="15">
        <f t="shared" si="61"/>
        <v>4.1281138790035588</v>
      </c>
      <c r="L201" s="14">
        <f t="shared" si="62"/>
        <v>11.6</v>
      </c>
    </row>
    <row r="202" spans="1:12">
      <c r="A202" s="28">
        <f t="shared" si="63"/>
        <v>14</v>
      </c>
      <c r="B202" s="13">
        <f>(VLOOKUP(E$6,'Aging Factor'!$A$145:$G$242,5,1)*(SQRT(A202+K$6-L$6)*Calibration!$B$49)-((0.32989795*(A202+K$6-L$6)-1.302)))</f>
        <v>22.207669587287363</v>
      </c>
      <c r="C202" s="13">
        <f>A202*$B$50*(VLOOKUP(E$6,'Aging Factor'!$A$145:$G$242,5,1)*(G$6/L$6/12500)*('Degradation Model'!$B$26/F$6))</f>
        <v>34.784500483185688</v>
      </c>
      <c r="D202" s="13">
        <f>D201+(C189*100/I201)</f>
        <v>124.44511825524054</v>
      </c>
      <c r="E202" s="13">
        <f>((VLOOKUP(E$6,'Aging Factor'!$A$145:$H$242,8,1)-1)*F202*J$6/7)</f>
        <v>19.424694789207866</v>
      </c>
      <c r="F202" s="13">
        <f t="shared" si="57"/>
        <v>146.65278784252791</v>
      </c>
      <c r="G202" s="13">
        <f t="shared" si="58"/>
        <v>166.07748263173579</v>
      </c>
      <c r="H202" s="13">
        <f t="shared" si="64"/>
        <v>56.944210609676446</v>
      </c>
      <c r="I202" s="13">
        <f t="shared" si="59"/>
        <v>5</v>
      </c>
      <c r="J202" s="14">
        <f t="shared" si="60"/>
        <v>14.05</v>
      </c>
      <c r="K202" s="15">
        <f t="shared" si="61"/>
        <v>4.1281138790035588</v>
      </c>
      <c r="L202" s="14">
        <f t="shared" si="62"/>
        <v>11.6</v>
      </c>
    </row>
    <row r="203" spans="1:12">
      <c r="A203" s="28">
        <f t="shared" si="63"/>
        <v>15</v>
      </c>
      <c r="B203" s="13">
        <f>(VLOOKUP(E$6,'Aging Factor'!$A$145:$G$242,5,1)*(SQRT(A203+K$6-L$6)*Calibration!$B$49)-((0.32989795*(A203+K$6-L$6)-1.302)))</f>
        <v>22.767356547370838</v>
      </c>
      <c r="C203" s="13">
        <f>A203*$B$50*(VLOOKUP(E$6,'Aging Factor'!$A$145:$G$242,5,1)*(G$6/L$6/12500)*('Degradation Model'!$B$26/F$6))</f>
        <v>37.269107660556095</v>
      </c>
      <c r="D203" s="13">
        <f>D202+(C189*100/I202)</f>
        <v>174.13726180264865</v>
      </c>
      <c r="E203" s="13">
        <f>((VLOOKUP(E$6,'Aging Factor'!$A$145:$H$242,8,1)-1)*F203*J$6/7)</f>
        <v>26.08073239045121</v>
      </c>
      <c r="F203" s="13">
        <f t="shared" si="57"/>
        <v>196.90461835001949</v>
      </c>
      <c r="G203" s="13">
        <f t="shared" si="58"/>
        <v>222.98535074047069</v>
      </c>
      <c r="H203" s="13">
        <f t="shared" si="64"/>
        <v>56.907868108734903</v>
      </c>
      <c r="I203" s="13">
        <f t="shared" si="59"/>
        <v>5</v>
      </c>
      <c r="J203" s="14">
        <f t="shared" si="60"/>
        <v>14.05</v>
      </c>
      <c r="K203" s="15">
        <f t="shared" si="61"/>
        <v>4.1281138790035588</v>
      </c>
      <c r="L203" s="14">
        <f t="shared" si="62"/>
        <v>11.6</v>
      </c>
    </row>
    <row r="206" spans="1:12">
      <c r="A206" s="7" t="s">
        <v>83</v>
      </c>
    </row>
    <row r="208" spans="1:12">
      <c r="A208" s="29"/>
      <c r="B208" s="29" t="s">
        <v>54</v>
      </c>
      <c r="C208" s="29" t="s">
        <v>54</v>
      </c>
      <c r="D208" s="29" t="s">
        <v>2</v>
      </c>
      <c r="E208" s="29" t="s">
        <v>3</v>
      </c>
      <c r="F208" s="29" t="s">
        <v>4</v>
      </c>
      <c r="G208" s="29" t="s">
        <v>54</v>
      </c>
      <c r="H208" s="29" t="s">
        <v>55</v>
      </c>
      <c r="I208" s="29" t="s">
        <v>6</v>
      </c>
      <c r="J208" s="29" t="s">
        <v>7</v>
      </c>
      <c r="K208" s="29" t="s">
        <v>8</v>
      </c>
      <c r="L208" s="29" t="s">
        <v>8</v>
      </c>
    </row>
    <row r="209" spans="1:12">
      <c r="A209" s="29" t="s">
        <v>56</v>
      </c>
      <c r="B209" s="29" t="s">
        <v>9</v>
      </c>
      <c r="C209" s="29" t="s">
        <v>10</v>
      </c>
      <c r="D209" s="29" t="s">
        <v>10</v>
      </c>
      <c r="E209" s="29" t="s">
        <v>11</v>
      </c>
      <c r="F209" s="29" t="s">
        <v>10</v>
      </c>
      <c r="G209" s="29" t="s">
        <v>12</v>
      </c>
      <c r="H209" s="29" t="s">
        <v>57</v>
      </c>
      <c r="I209" s="29" t="s">
        <v>52</v>
      </c>
      <c r="J209" s="29" t="s">
        <v>14</v>
      </c>
      <c r="K209" s="29" t="s">
        <v>15</v>
      </c>
      <c r="L209" s="29" t="s">
        <v>14</v>
      </c>
    </row>
    <row r="210" spans="1:12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</row>
    <row r="211" spans="1:12">
      <c r="A211" s="32">
        <v>1</v>
      </c>
      <c r="B211" s="13">
        <f>(VLOOKUP(E$7,'Aging Factor'!$A$145:$G$242,5,1)*(SQRT(A211+K$7-L$7)*Calibration!$B$49)-((0.32989795*(A211+K$7-L$7)-1.302)))</f>
        <v>7.4370132680949528</v>
      </c>
      <c r="C211" s="13">
        <f>A211*$B$50*(VLOOKUP(E$7,'Aging Factor'!$A$145:$G$242,5,1)*(G$7/L$7/12500)*('Degradation Model'!$B$26/F$7))</f>
        <v>1.4211161405752766</v>
      </c>
      <c r="D211" s="13">
        <f>C211</f>
        <v>1.4211161405752766</v>
      </c>
      <c r="E211" s="13">
        <f>((VLOOKUP(E$7,'Aging Factor'!$A$145:$H$242,8,1)-1)*F211*J$7/7)</f>
        <v>1.17329143685619</v>
      </c>
      <c r="F211" s="13">
        <f t="shared" ref="F211:F225" si="65">B211+D211</f>
        <v>8.85812940867023</v>
      </c>
      <c r="G211" s="13">
        <f t="shared" ref="G211:G225" si="66">F211+E211</f>
        <v>10.031420845526419</v>
      </c>
      <c r="H211" s="13">
        <f>G211</f>
        <v>10.031420845526419</v>
      </c>
      <c r="I211" s="13">
        <f t="shared" ref="I211:I225" si="67">IF(100-G211&lt;=5,5,100-G211)</f>
        <v>89.968579154473588</v>
      </c>
      <c r="J211" s="33">
        <f t="shared" ref="J211:J225" si="68">IF(281*I211/100&gt;0,281*I211/100,0)</f>
        <v>252.81170742407076</v>
      </c>
      <c r="K211" s="15">
        <f t="shared" ref="K211:K225" si="69">IF(L211/281*100&gt;0,L211/281*100,0)</f>
        <v>74.280108056362522</v>
      </c>
      <c r="L211" s="14">
        <f t="shared" ref="L211:L225" si="70">IF(I211*232/100&gt;0,I211*232/100,0)</f>
        <v>208.72710363837871</v>
      </c>
    </row>
    <row r="212" spans="1:12">
      <c r="A212" s="28">
        <f t="shared" ref="A212:A225" si="71">A211+1</f>
        <v>2</v>
      </c>
      <c r="B212" s="13">
        <f>(VLOOKUP(E$7,'Aging Factor'!$A$145:$G$242,5,1)*(SQRT(A212+K$7-L$7)*Calibration!$B$49)-((0.32989795*(A212+K$7-L$7)-1.302)))</f>
        <v>9.5080712213382483</v>
      </c>
      <c r="C212" s="13">
        <f>A212*$B$50*(VLOOKUP(E$7,'Aging Factor'!$A$145:$G$242,5,1)*(G$7/L$7/12500)*('Degradation Model'!$B$26/F$7))</f>
        <v>2.8422322811505532</v>
      </c>
      <c r="D212" s="13">
        <f>D211+(C211*100/I211)</f>
        <v>3.0006855346136763</v>
      </c>
      <c r="E212" s="13">
        <f>((VLOOKUP(E$7,'Aging Factor'!$A$145:$H$242,8,1)-1)*F212*J$7/7)</f>
        <v>1.6568302979532348</v>
      </c>
      <c r="F212" s="13">
        <f t="shared" si="65"/>
        <v>12.508756755951925</v>
      </c>
      <c r="G212" s="13">
        <f t="shared" si="66"/>
        <v>14.16558705390516</v>
      </c>
      <c r="H212" s="13">
        <f t="shared" ref="H212:H225" si="72">G212-G211</f>
        <v>4.1341662083787405</v>
      </c>
      <c r="I212" s="13">
        <f t="shared" si="67"/>
        <v>85.834412946094844</v>
      </c>
      <c r="J212" s="14">
        <f t="shared" si="68"/>
        <v>241.19470037852651</v>
      </c>
      <c r="K212" s="15">
        <f t="shared" si="69"/>
        <v>70.866846275779366</v>
      </c>
      <c r="L212" s="14">
        <f t="shared" si="70"/>
        <v>199.13583803494004</v>
      </c>
    </row>
    <row r="213" spans="1:12">
      <c r="A213" s="28">
        <f t="shared" si="71"/>
        <v>3</v>
      </c>
      <c r="B213" s="13">
        <f>(VLOOKUP(E$7,'Aging Factor'!$A$145:$G$242,5,1)*(SQRT(A213+K$7-L$7)*Calibration!$B$49)-((0.32989795*(A213+K$7-L$7)-1.302)))</f>
        <v>11.057634663419663</v>
      </c>
      <c r="C213" s="13">
        <f>A213*$B$50*(VLOOKUP(E$7,'Aging Factor'!$A$145:$G$242,5,1)*(G$7/L$7/12500)*('Degradation Model'!$B$26/F$7))</f>
        <v>4.26334842172583</v>
      </c>
      <c r="D213" s="13">
        <f>D212+(C211*100/I212)</f>
        <v>4.6563339998367752</v>
      </c>
      <c r="E213" s="13">
        <f>((VLOOKUP(E$7,'Aging Factor'!$A$145:$H$242,8,1)-1)*F213*J$7/7)</f>
        <v>2.0813722650720492</v>
      </c>
      <c r="F213" s="13">
        <f t="shared" si="65"/>
        <v>15.713968663256438</v>
      </c>
      <c r="G213" s="13">
        <f t="shared" si="66"/>
        <v>17.795340928328486</v>
      </c>
      <c r="H213" s="13">
        <f t="shared" si="72"/>
        <v>3.6297538744233258</v>
      </c>
      <c r="I213" s="13">
        <f t="shared" si="67"/>
        <v>82.204659071671514</v>
      </c>
      <c r="J213" s="14">
        <f t="shared" si="68"/>
        <v>230.99509199139695</v>
      </c>
      <c r="K213" s="15">
        <f t="shared" si="69"/>
        <v>67.870038806504596</v>
      </c>
      <c r="L213" s="14">
        <f t="shared" si="70"/>
        <v>190.71480904627791</v>
      </c>
    </row>
    <row r="214" spans="1:12">
      <c r="A214" s="28">
        <f t="shared" si="71"/>
        <v>4</v>
      </c>
      <c r="B214" s="13">
        <f>(VLOOKUP(E$7,'Aging Factor'!$A$145:$G$242,5,1)*(SQRT(A214+K$7-L$7)*Calibration!$B$49)-((0.32989795*(A214+K$7-L$7)-1.302)))</f>
        <v>12.325324189189159</v>
      </c>
      <c r="C214" s="13">
        <f>A214*$B$50*(VLOOKUP(E$7,'Aging Factor'!$A$145:$G$242,5,1)*(G$7/L$7/12500)*('Degradation Model'!$B$26/F$7))</f>
        <v>5.6844645623011063</v>
      </c>
      <c r="D214" s="13">
        <f>D213+(C211*100/I213)</f>
        <v>6.3850877671095674</v>
      </c>
      <c r="E214" s="13">
        <f>((VLOOKUP(E$7,'Aging Factor'!$A$145:$H$242,8,1)-1)*F214*J$7/7)</f>
        <v>2.4782620704197287</v>
      </c>
      <c r="F214" s="13">
        <f t="shared" si="65"/>
        <v>18.710411956298728</v>
      </c>
      <c r="G214" s="13">
        <f t="shared" si="66"/>
        <v>21.188674026718456</v>
      </c>
      <c r="H214" s="13">
        <f t="shared" si="72"/>
        <v>3.3933330983899701</v>
      </c>
      <c r="I214" s="13">
        <f t="shared" si="67"/>
        <v>78.811325973281541</v>
      </c>
      <c r="J214" s="14">
        <f t="shared" si="68"/>
        <v>221.45982598492111</v>
      </c>
      <c r="K214" s="15">
        <f t="shared" si="69"/>
        <v>65.068425714595435</v>
      </c>
      <c r="L214" s="14">
        <f t="shared" si="70"/>
        <v>182.84227625801319</v>
      </c>
    </row>
    <row r="215" spans="1:12">
      <c r="A215" s="32">
        <f t="shared" si="71"/>
        <v>5</v>
      </c>
      <c r="B215" s="13">
        <f>(VLOOKUP(E$7,'Aging Factor'!$A$145:$G$242,5,1)*(SQRT(A215+K$7-L$7)*Calibration!$B$49)-((0.32989795*(A215+K$7-L$7)-1.302)))</f>
        <v>13.409350780386678</v>
      </c>
      <c r="C215" s="13">
        <f>A215*$B$50*(VLOOKUP(E$7,'Aging Factor'!$A$145:$G$242,5,1)*(G$7/L$7/12500)*('Degradation Model'!$B$26/F$7))</f>
        <v>7.1055807028763827</v>
      </c>
      <c r="D215" s="13">
        <f>D214+(C211*100/I214)</f>
        <v>8.1882754727155618</v>
      </c>
      <c r="E215" s="13">
        <f>((VLOOKUP(E$7,'Aging Factor'!$A$145:$H$242,8,1)-1)*F215*J$7/7)</f>
        <v>2.8606840982005202</v>
      </c>
      <c r="F215" s="13">
        <f t="shared" si="65"/>
        <v>21.597626253102241</v>
      </c>
      <c r="G215" s="13">
        <f t="shared" si="66"/>
        <v>24.45831035130276</v>
      </c>
      <c r="H215" s="13">
        <f t="shared" si="72"/>
        <v>3.2696363245843045</v>
      </c>
      <c r="I215" s="13">
        <f t="shared" si="67"/>
        <v>75.541689648697243</v>
      </c>
      <c r="J215" s="33">
        <f t="shared" si="68"/>
        <v>212.27214791283924</v>
      </c>
      <c r="K215" s="15">
        <f t="shared" si="69"/>
        <v>62.36893949643332</v>
      </c>
      <c r="L215" s="14">
        <f t="shared" si="70"/>
        <v>175.25671998497762</v>
      </c>
    </row>
    <row r="216" spans="1:12">
      <c r="A216" s="28">
        <f t="shared" si="71"/>
        <v>6</v>
      </c>
      <c r="B216" s="13">
        <f>(VLOOKUP(E$7,'Aging Factor'!$A$145:$G$242,5,1)*(SQRT(A216+K$7-L$7)*Calibration!$B$49)-((0.32989795*(A216+K$7-L$7)-1.302)))</f>
        <v>14.361441638515725</v>
      </c>
      <c r="C216" s="13">
        <f>A216*$B$50*(VLOOKUP(E$7,'Aging Factor'!$A$145:$G$242,5,1)*(G$7/L$7/12500)*('Degradation Model'!$B$26/F$7))</f>
        <v>8.5266968434516599</v>
      </c>
      <c r="D216" s="13">
        <f>D215+(C211*100/I215)</f>
        <v>10.069509725198005</v>
      </c>
      <c r="E216" s="13">
        <f>((VLOOKUP(E$7,'Aging Factor'!$A$145:$H$242,8,1)-1)*F216*J$7/7)</f>
        <v>3.2359683073989407</v>
      </c>
      <c r="F216" s="13">
        <f t="shared" si="65"/>
        <v>24.430951363713731</v>
      </c>
      <c r="G216" s="13">
        <f t="shared" si="66"/>
        <v>27.666919671112673</v>
      </c>
      <c r="H216" s="13">
        <f t="shared" si="72"/>
        <v>3.2086093198099128</v>
      </c>
      <c r="I216" s="13">
        <f t="shared" si="67"/>
        <v>72.33308032888732</v>
      </c>
      <c r="J216" s="14">
        <f t="shared" si="68"/>
        <v>203.25595572417336</v>
      </c>
      <c r="K216" s="15">
        <f t="shared" si="69"/>
        <v>59.719838563351814</v>
      </c>
      <c r="L216" s="14">
        <f t="shared" si="70"/>
        <v>167.81274636301859</v>
      </c>
    </row>
    <row r="217" spans="1:12">
      <c r="A217" s="28">
        <f t="shared" si="71"/>
        <v>7</v>
      </c>
      <c r="B217" s="13">
        <f>(VLOOKUP(E$7,'Aging Factor'!$A$145:$G$242,5,1)*(SQRT(A217+K$7-L$7)*Calibration!$B$49)-((0.32989795*(A217+K$7-L$7)-1.302)))</f>
        <v>15.212818030791141</v>
      </c>
      <c r="C217" s="13">
        <f>A217*$B$50*(VLOOKUP(E$7,'Aging Factor'!$A$145:$G$242,5,1)*(G$7/L$7/12500)*('Degradation Model'!$B$26/F$7))</f>
        <v>9.9478129840269354</v>
      </c>
      <c r="D217" s="13">
        <f>D216+(C211*100/I216)</f>
        <v>12.034193289223872</v>
      </c>
      <c r="E217" s="13">
        <f>((VLOOKUP(E$7,'Aging Factor'!$A$145:$H$242,8,1)-1)*F217*J$7/7)</f>
        <v>3.6089656841552498</v>
      </c>
      <c r="F217" s="13">
        <f t="shared" si="65"/>
        <v>27.247011320015012</v>
      </c>
      <c r="G217" s="13">
        <f t="shared" si="66"/>
        <v>30.855977004170263</v>
      </c>
      <c r="H217" s="13">
        <f t="shared" si="72"/>
        <v>3.1890573330575904</v>
      </c>
      <c r="I217" s="13">
        <f t="shared" si="67"/>
        <v>69.144022995829744</v>
      </c>
      <c r="J217" s="14">
        <f t="shared" si="68"/>
        <v>194.29470461828157</v>
      </c>
      <c r="K217" s="15">
        <f t="shared" si="69"/>
        <v>57.086880195845204</v>
      </c>
      <c r="L217" s="14">
        <f t="shared" si="70"/>
        <v>160.41413335032502</v>
      </c>
    </row>
    <row r="218" spans="1:12">
      <c r="A218" s="28">
        <f t="shared" si="71"/>
        <v>8</v>
      </c>
      <c r="B218" s="13">
        <f>(VLOOKUP(E$7,'Aging Factor'!$A$145:$G$242,5,1)*(SQRT(A218+K$7-L$7)*Calibration!$B$49)-((0.32989795*(A218+K$7-L$7)-1.302)))</f>
        <v>15.984040899011323</v>
      </c>
      <c r="C218" s="13">
        <f>A218*$B$50*(VLOOKUP(E$7,'Aging Factor'!$A$145:$G$242,5,1)*(G$7/L$7/12500)*('Degradation Model'!$B$26/F$7))</f>
        <v>11.368929124602213</v>
      </c>
      <c r="D218" s="13">
        <f>D217+(C211*100/I217)</f>
        <v>14.089491894948603</v>
      </c>
      <c r="E218" s="13">
        <f>((VLOOKUP(E$7,'Aging Factor'!$A$145:$H$242,8,1)-1)*F218*J$7/7)</f>
        <v>3.9833487269479768</v>
      </c>
      <c r="F218" s="13">
        <f t="shared" si="65"/>
        <v>30.073532793959927</v>
      </c>
      <c r="G218" s="13">
        <f t="shared" si="66"/>
        <v>34.056881520907908</v>
      </c>
      <c r="H218" s="13">
        <f t="shared" si="72"/>
        <v>3.2009045167376442</v>
      </c>
      <c r="I218" s="13">
        <f t="shared" si="67"/>
        <v>65.943118479092092</v>
      </c>
      <c r="J218" s="14">
        <f t="shared" si="68"/>
        <v>185.30016292624879</v>
      </c>
      <c r="K218" s="15">
        <f t="shared" si="69"/>
        <v>54.444140523663222</v>
      </c>
      <c r="L218" s="14">
        <f t="shared" si="70"/>
        <v>152.98803487149365</v>
      </c>
    </row>
    <row r="219" spans="1:12">
      <c r="A219" s="28">
        <f t="shared" si="71"/>
        <v>9</v>
      </c>
      <c r="B219" s="13">
        <f>(VLOOKUP(E$7,'Aging Factor'!$A$145:$G$242,5,1)*(SQRT(A219+K$7-L$7)*Calibration!$B$49)-((0.32989795*(A219+K$7-L$7)-1.302)))</f>
        <v>16.689502369939987</v>
      </c>
      <c r="C219" s="13">
        <f>A219*$B$50*(VLOOKUP(E$7,'Aging Factor'!$A$145:$G$242,5,1)*(G$7/L$7/12500)*('Degradation Model'!$B$26/F$7))</f>
        <v>12.79004526517749</v>
      </c>
      <c r="D219" s="13">
        <f>D218+(C211*100/I218)</f>
        <v>16.244555491199144</v>
      </c>
      <c r="E219" s="13">
        <f>((VLOOKUP(E$7,'Aging Factor'!$A$145:$H$242,8,1)-1)*F219*J$7/7)</f>
        <v>4.3622356692575801</v>
      </c>
      <c r="F219" s="13">
        <f t="shared" si="65"/>
        <v>32.934057861139131</v>
      </c>
      <c r="G219" s="13">
        <f t="shared" si="66"/>
        <v>37.29629353039671</v>
      </c>
      <c r="H219" s="13">
        <f t="shared" si="72"/>
        <v>3.2394120094888024</v>
      </c>
      <c r="I219" s="13">
        <f t="shared" si="67"/>
        <v>62.70370646960329</v>
      </c>
      <c r="J219" s="14">
        <f t="shared" si="68"/>
        <v>176.19741517958525</v>
      </c>
      <c r="K219" s="15">
        <f t="shared" si="69"/>
        <v>51.769608188426922</v>
      </c>
      <c r="L219" s="14">
        <f t="shared" si="70"/>
        <v>145.47259900947964</v>
      </c>
    </row>
    <row r="220" spans="1:12">
      <c r="A220" s="32">
        <f t="shared" si="71"/>
        <v>10</v>
      </c>
      <c r="B220" s="13">
        <f>(VLOOKUP(E$7,'Aging Factor'!$A$145:$G$242,5,1)*(SQRT(A220+K$7-L$7)*Calibration!$B$49)-((0.32989795*(A220+K$7-L$7)-1.302)))</f>
        <v>17.33974252847214</v>
      </c>
      <c r="C220" s="13">
        <f>A220*$B$50*(VLOOKUP(E$7,'Aging Factor'!$A$145:$G$242,5,1)*(G$7/L$7/12500)*('Degradation Model'!$B$26/F$7))</f>
        <v>14.211161405752765</v>
      </c>
      <c r="D220" s="13">
        <f>D219+(C211*100/I219)</f>
        <v>18.510954434081711</v>
      </c>
      <c r="E220" s="13">
        <f>((VLOOKUP(E$7,'Aging Factor'!$A$145:$H$242,8,1)-1)*F220*J$7/7)</f>
        <v>4.7485551193595787</v>
      </c>
      <c r="F220" s="13">
        <f t="shared" si="65"/>
        <v>35.850696962553855</v>
      </c>
      <c r="G220" s="13">
        <f t="shared" si="66"/>
        <v>40.599252081913434</v>
      </c>
      <c r="H220" s="13">
        <f t="shared" si="72"/>
        <v>3.3029585515167241</v>
      </c>
      <c r="I220" s="13">
        <f t="shared" si="67"/>
        <v>59.400747918086566</v>
      </c>
      <c r="J220" s="33">
        <f t="shared" si="68"/>
        <v>166.91610164982325</v>
      </c>
      <c r="K220" s="15">
        <f t="shared" si="69"/>
        <v>49.042610380768984</v>
      </c>
      <c r="L220" s="14">
        <f t="shared" si="70"/>
        <v>137.80973516996085</v>
      </c>
    </row>
    <row r="221" spans="1:12">
      <c r="A221" s="28">
        <f t="shared" si="71"/>
        <v>11</v>
      </c>
      <c r="B221" s="13">
        <f>(VLOOKUP(E$7,'Aging Factor'!$A$145:$G$242,5,1)*(SQRT(A221+K$7-L$7)*Calibration!$B$49)-((0.32989795*(A221+K$7-L$7)-1.302)))</f>
        <v>17.942754740119646</v>
      </c>
      <c r="C221" s="13">
        <f>A221*$B$50*(VLOOKUP(E$7,'Aging Factor'!$A$145:$G$242,5,1)*(G$7/L$7/12500)*('Degradation Model'!$B$26/F$7))</f>
        <v>15.632277546328043</v>
      </c>
      <c r="D221" s="13">
        <f>D220+(C211*100/I220)</f>
        <v>20.903375725704151</v>
      </c>
      <c r="E221" s="13">
        <f>((VLOOKUP(E$7,'Aging Factor'!$A$145:$H$242,8,1)-1)*F221*J$7/7)</f>
        <v>5.1453111743816242</v>
      </c>
      <c r="F221" s="13">
        <f t="shared" si="65"/>
        <v>38.846130465823798</v>
      </c>
      <c r="G221" s="13">
        <f t="shared" si="66"/>
        <v>43.991441640205423</v>
      </c>
      <c r="H221" s="13">
        <f t="shared" si="72"/>
        <v>3.3921895582919888</v>
      </c>
      <c r="I221" s="13">
        <f t="shared" si="67"/>
        <v>56.008558359794577</v>
      </c>
      <c r="J221" s="14">
        <f t="shared" si="68"/>
        <v>157.38404899102275</v>
      </c>
      <c r="K221" s="15">
        <f t="shared" si="69"/>
        <v>46.241941421609759</v>
      </c>
      <c r="L221" s="14">
        <f t="shared" si="70"/>
        <v>129.93985539472342</v>
      </c>
    </row>
    <row r="222" spans="1:12">
      <c r="A222" s="28">
        <f t="shared" si="71"/>
        <v>12</v>
      </c>
      <c r="B222" s="13">
        <f>(VLOOKUP(E$7,'Aging Factor'!$A$145:$G$242,5,1)*(SQRT(A222+K$7-L$7)*Calibration!$B$49)-((0.32989795*(A222+K$7-L$7)-1.302)))</f>
        <v>18.504771967895255</v>
      </c>
      <c r="C222" s="13">
        <f>A222*$B$50*(VLOOKUP(E$7,'Aging Factor'!$A$145:$G$242,5,1)*(G$7/L$7/12500)*('Degradation Model'!$B$26/F$7))</f>
        <v>17.05339368690332</v>
      </c>
      <c r="D222" s="13">
        <f>D221+(C211*100/I221)</f>
        <v>23.440695346477352</v>
      </c>
      <c r="E222" s="13">
        <f>((VLOOKUP(E$7,'Aging Factor'!$A$145:$H$242,8,1)-1)*F222*J$7/7)</f>
        <v>5.5558296051437539</v>
      </c>
      <c r="F222" s="13">
        <f t="shared" si="65"/>
        <v>41.945467314372607</v>
      </c>
      <c r="G222" s="13">
        <f t="shared" si="66"/>
        <v>47.501296919516363</v>
      </c>
      <c r="H222" s="13">
        <f t="shared" si="72"/>
        <v>3.5098552793109405</v>
      </c>
      <c r="I222" s="13">
        <f t="shared" si="67"/>
        <v>52.498703080483637</v>
      </c>
      <c r="J222" s="14">
        <f t="shared" si="68"/>
        <v>147.52135565615902</v>
      </c>
      <c r="K222" s="15">
        <f t="shared" si="69"/>
        <v>43.34412496324628</v>
      </c>
      <c r="L222" s="14">
        <f t="shared" si="70"/>
        <v>121.79699114672204</v>
      </c>
    </row>
    <row r="223" spans="1:12">
      <c r="A223" s="28">
        <f t="shared" si="71"/>
        <v>13</v>
      </c>
      <c r="B223" s="13">
        <f>(VLOOKUP(E$7,'Aging Factor'!$A$145:$G$242,5,1)*(SQRT(A223+K$7-L$7)*Calibration!$B$49)-((0.32989795*(A223+K$7-L$7)-1.302)))</f>
        <v>19.030766013397709</v>
      </c>
      <c r="C223" s="13">
        <f>A223*$B$50*(VLOOKUP(E$7,'Aging Factor'!$A$145:$G$242,5,1)*(G$7/L$7/12500)*('Degradation Model'!$B$26/F$7))</f>
        <v>18.474509827478595</v>
      </c>
      <c r="D223" s="13">
        <f>D222+(C211*100/I222)</f>
        <v>26.147650103810349</v>
      </c>
      <c r="E223" s="13">
        <f>((VLOOKUP(E$7,'Aging Factor'!$A$145:$H$242,8,1)-1)*F223*J$7/7)</f>
        <v>5.9840454248910442</v>
      </c>
      <c r="F223" s="13">
        <f t="shared" si="65"/>
        <v>45.178416117208059</v>
      </c>
      <c r="G223" s="13">
        <f t="shared" si="66"/>
        <v>51.162461542099102</v>
      </c>
      <c r="H223" s="13">
        <f t="shared" si="72"/>
        <v>3.6611646225827386</v>
      </c>
      <c r="I223" s="13">
        <f t="shared" si="67"/>
        <v>48.837538457900898</v>
      </c>
      <c r="J223" s="14">
        <f t="shared" si="68"/>
        <v>137.23348306670152</v>
      </c>
      <c r="K223" s="15">
        <f t="shared" si="69"/>
        <v>40.321384064886153</v>
      </c>
      <c r="L223" s="14">
        <f t="shared" si="70"/>
        <v>113.30308922233009</v>
      </c>
    </row>
    <row r="224" spans="1:12">
      <c r="A224" s="28">
        <f t="shared" si="71"/>
        <v>14</v>
      </c>
      <c r="B224" s="13">
        <f>(VLOOKUP(E$7,'Aging Factor'!$A$145:$G$242,5,1)*(SQRT(A224+K$7-L$7)*Calibration!$B$49)-((0.32989795*(A224+K$7-L$7)-1.302)))</f>
        <v>19.524778250466898</v>
      </c>
      <c r="C224" s="13">
        <f>A224*$B$50*(VLOOKUP(E$7,'Aging Factor'!$A$145:$G$242,5,1)*(G$7/L$7/12500)*('Degradation Model'!$B$26/F$7))</f>
        <v>19.895625968053871</v>
      </c>
      <c r="D224" s="13">
        <f>D223+(C211*100/I223)</f>
        <v>29.057534969937073</v>
      </c>
      <c r="E224" s="13">
        <f>((VLOOKUP(E$7,'Aging Factor'!$A$145:$H$242,8,1)-1)*F224*J$7/7)</f>
        <v>6.4349039683675375</v>
      </c>
      <c r="F224" s="13">
        <f t="shared" si="65"/>
        <v>48.582313220403975</v>
      </c>
      <c r="G224" s="13">
        <f t="shared" si="66"/>
        <v>55.017217188771511</v>
      </c>
      <c r="H224" s="13">
        <f t="shared" si="72"/>
        <v>3.8547556466724089</v>
      </c>
      <c r="I224" s="13">
        <f t="shared" si="67"/>
        <v>44.982782811228489</v>
      </c>
      <c r="J224" s="14">
        <f t="shared" si="68"/>
        <v>126.40161969955204</v>
      </c>
      <c r="K224" s="15">
        <f t="shared" si="69"/>
        <v>37.138810007847013</v>
      </c>
      <c r="L224" s="14">
        <f t="shared" si="70"/>
        <v>104.3600561220501</v>
      </c>
    </row>
    <row r="225" spans="1:12">
      <c r="A225" s="28">
        <f t="shared" si="71"/>
        <v>15</v>
      </c>
      <c r="B225" s="13">
        <f>(VLOOKUP(E$7,'Aging Factor'!$A$145:$G$242,5,1)*(SQRT(A225+K$7-L$7)*Calibration!$B$49)-((0.32989795*(A225+K$7-L$7)-1.302)))</f>
        <v>19.990146554982811</v>
      </c>
      <c r="C225" s="13">
        <f>A225*$B$50*(VLOOKUP(E$7,'Aging Factor'!$A$145:$G$242,5,1)*(G$7/L$7/12500)*('Degradation Model'!$B$26/F$7))</f>
        <v>21.31674210862915</v>
      </c>
      <c r="D225" s="13">
        <f>D224+(C211*100/I224)</f>
        <v>32.216779578122008</v>
      </c>
      <c r="E225" s="13">
        <f>((VLOOKUP(E$7,'Aging Factor'!$A$145:$H$242,8,1)-1)*F225*J$7/7)</f>
        <v>6.9149971230495808</v>
      </c>
      <c r="F225" s="13">
        <f t="shared" si="65"/>
        <v>52.206926133104815</v>
      </c>
      <c r="G225" s="13">
        <f t="shared" si="66"/>
        <v>59.121923256154396</v>
      </c>
      <c r="H225" s="13">
        <f t="shared" si="72"/>
        <v>4.1047060673828852</v>
      </c>
      <c r="I225" s="13">
        <f t="shared" si="67"/>
        <v>40.878076743845604</v>
      </c>
      <c r="J225" s="14">
        <f t="shared" si="68"/>
        <v>114.86739565020615</v>
      </c>
      <c r="K225" s="15">
        <f t="shared" si="69"/>
        <v>33.749871190648328</v>
      </c>
      <c r="L225" s="14">
        <f t="shared" si="70"/>
        <v>94.837138045721801</v>
      </c>
    </row>
    <row r="228" spans="1:12">
      <c r="A228" s="7" t="s">
        <v>85</v>
      </c>
    </row>
    <row r="230" spans="1:12">
      <c r="A230" s="29"/>
      <c r="B230" s="29" t="s">
        <v>54</v>
      </c>
      <c r="C230" s="29" t="s">
        <v>54</v>
      </c>
      <c r="D230" s="29" t="s">
        <v>2</v>
      </c>
      <c r="E230" s="29" t="s">
        <v>3</v>
      </c>
      <c r="F230" s="29" t="s">
        <v>4</v>
      </c>
      <c r="G230" s="29" t="s">
        <v>54</v>
      </c>
      <c r="H230" s="29" t="s">
        <v>55</v>
      </c>
      <c r="I230" s="29" t="s">
        <v>6</v>
      </c>
      <c r="J230" s="29" t="s">
        <v>7</v>
      </c>
      <c r="K230" s="29" t="s">
        <v>8</v>
      </c>
      <c r="L230" s="29" t="s">
        <v>8</v>
      </c>
    </row>
    <row r="231" spans="1:12">
      <c r="A231" s="29" t="s">
        <v>56</v>
      </c>
      <c r="B231" s="29" t="s">
        <v>9</v>
      </c>
      <c r="C231" s="29" t="s">
        <v>10</v>
      </c>
      <c r="D231" s="29" t="s">
        <v>10</v>
      </c>
      <c r="E231" s="29" t="s">
        <v>11</v>
      </c>
      <c r="F231" s="29" t="s">
        <v>10</v>
      </c>
      <c r="G231" s="29" t="s">
        <v>12</v>
      </c>
      <c r="H231" s="29" t="s">
        <v>57</v>
      </c>
      <c r="I231" s="29" t="s">
        <v>52</v>
      </c>
      <c r="J231" s="29" t="s">
        <v>14</v>
      </c>
      <c r="K231" s="29" t="s">
        <v>15</v>
      </c>
      <c r="L231" s="29" t="s">
        <v>14</v>
      </c>
    </row>
    <row r="232" spans="1:12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</row>
    <row r="233" spans="1:12">
      <c r="A233" s="32">
        <v>1</v>
      </c>
      <c r="B233" s="13">
        <f>(VLOOKUP(E$8,'Aging Factor'!$A$145:$G$242,5,1)*(SQRT(A233+K$8-L$8)*Calibration!$B$49)-((0.32989795*(A233+K$8-L$8)-1.302)))</f>
        <v>6.00973018043336</v>
      </c>
      <c r="C233" s="13">
        <f>A233*$B$50*(VLOOKUP(E$8,'Aging Factor'!$A$145:$G$242,5,1)*(G$8/L$8/12500)*('Degradation Model'!$B$26/F$8))</f>
        <v>1.6684781526168222</v>
      </c>
      <c r="D233" s="13">
        <f>C233</f>
        <v>1.6684781526168222</v>
      </c>
      <c r="E233" s="13">
        <f>((VLOOKUP(E$8,'Aging Factor'!$A$145:$H$242,8,1)-1)*F233*J$8/7)</f>
        <v>0.58933800369436273</v>
      </c>
      <c r="F233" s="13">
        <f t="shared" ref="F233:F247" si="73">B233+D233</f>
        <v>7.6782083330501827</v>
      </c>
      <c r="G233" s="13">
        <f t="shared" ref="G233:G247" si="74">F233+E233</f>
        <v>8.2675463367445445</v>
      </c>
      <c r="H233" s="13">
        <f>G233</f>
        <v>8.2675463367445445</v>
      </c>
      <c r="I233" s="13">
        <f t="shared" ref="I233:I247" si="75">IF(100-G233&lt;=5,5,100-G233)</f>
        <v>91.732453663255455</v>
      </c>
      <c r="J233" s="33">
        <f t="shared" ref="J233:J247" si="76">IF(281*I233/100&gt;0,281*I233/100,0)</f>
        <v>257.76819479374785</v>
      </c>
      <c r="K233" s="15">
        <f t="shared" ref="K233:K247" si="77">IF(L233/281*100&gt;0,L233/281*100,0)</f>
        <v>75.736403024467137</v>
      </c>
      <c r="L233" s="14">
        <f t="shared" ref="L233:L247" si="78">IF(I233*232/100&gt;0,I233*232/100,0)</f>
        <v>212.81929249875265</v>
      </c>
    </row>
    <row r="234" spans="1:12">
      <c r="A234" s="28">
        <f t="shared" ref="A234:A247" si="79">A233+1</f>
        <v>2</v>
      </c>
      <c r="B234" s="13">
        <f>(VLOOKUP(E$8,'Aging Factor'!$A$145:$G$242,5,1)*(SQRT(A234+K$8-L$8)*Calibration!$B$49)-((0.32989795*(A234+K$8-L$8)-1.302)))</f>
        <v>7.5164799232010076</v>
      </c>
      <c r="C234" s="13">
        <f>A234*$B$50*(VLOOKUP(E$8,'Aging Factor'!$A$145:$G$242,5,1)*(G$8/L$8/12500)*('Degradation Model'!$B$26/F$8))</f>
        <v>3.3369563052336444</v>
      </c>
      <c r="D234" s="13">
        <f>D233+(C233*100/I233)</f>
        <v>3.4873307898107528</v>
      </c>
      <c r="E234" s="13">
        <f>((VLOOKUP(E$8,'Aging Factor'!$A$145:$H$242,8,1)-1)*F234*J$8/7)</f>
        <v>0.84459336831523923</v>
      </c>
      <c r="F234" s="13">
        <f t="shared" si="73"/>
        <v>11.00381071301176</v>
      </c>
      <c r="G234" s="13">
        <f t="shared" si="74"/>
        <v>11.848404081326999</v>
      </c>
      <c r="H234" s="13">
        <f t="shared" ref="H234:H247" si="80">G234-G233</f>
        <v>3.5808577445824543</v>
      </c>
      <c r="I234" s="13">
        <f t="shared" si="75"/>
        <v>88.151595918672996</v>
      </c>
      <c r="J234" s="14">
        <f t="shared" si="76"/>
        <v>247.7059845314711</v>
      </c>
      <c r="K234" s="15">
        <f t="shared" si="77"/>
        <v>72.77996531363749</v>
      </c>
      <c r="L234" s="14">
        <f t="shared" si="78"/>
        <v>204.51170253132136</v>
      </c>
    </row>
    <row r="235" spans="1:12">
      <c r="A235" s="28">
        <f t="shared" si="79"/>
        <v>3</v>
      </c>
      <c r="B235" s="13">
        <f>(VLOOKUP(E$8,'Aging Factor'!$A$145:$G$242,5,1)*(SQRT(A235+K$8-L$8)*Calibration!$B$49)-((0.32989795*(A235+K$8-L$8)-1.302)))</f>
        <v>8.6297075276530784</v>
      </c>
      <c r="C235" s="13">
        <f>A235*$B$50*(VLOOKUP(E$8,'Aging Factor'!$A$145:$G$242,5,1)*(G$8/L$8/12500)*('Degradation Model'!$B$26/F$8))</f>
        <v>5.0054344578504661</v>
      </c>
      <c r="D235" s="13">
        <f>D234+(C233*100/I234)</f>
        <v>5.3800681080960953</v>
      </c>
      <c r="E235" s="13">
        <f>((VLOOKUP(E$8,'Aging Factor'!$A$145:$H$242,8,1)-1)*F235*J$8/7)</f>
        <v>1.0753150796702116</v>
      </c>
      <c r="F235" s="13">
        <f t="shared" si="73"/>
        <v>14.009775635749174</v>
      </c>
      <c r="G235" s="13">
        <f t="shared" si="74"/>
        <v>15.085090715419385</v>
      </c>
      <c r="H235" s="13">
        <f t="shared" si="80"/>
        <v>3.2366866340923863</v>
      </c>
      <c r="I235" s="13">
        <f t="shared" si="75"/>
        <v>84.914909284580617</v>
      </c>
      <c r="J235" s="14">
        <f t="shared" si="76"/>
        <v>238.61089508967154</v>
      </c>
      <c r="K235" s="15">
        <f t="shared" si="77"/>
        <v>70.107683110401069</v>
      </c>
      <c r="L235" s="14">
        <f t="shared" si="78"/>
        <v>197.00258954022701</v>
      </c>
    </row>
    <row r="236" spans="1:12">
      <c r="A236" s="28">
        <f t="shared" si="79"/>
        <v>4</v>
      </c>
      <c r="B236" s="13">
        <f>(VLOOKUP(E$8,'Aging Factor'!$A$145:$G$242,5,1)*(SQRT(A236+K$8-L$8)*Calibration!$B$49)-((0.32989795*(A236+K$8-L$8)-1.302)))</f>
        <v>9.5284793135858745</v>
      </c>
      <c r="C236" s="13">
        <f>A236*$B$50*(VLOOKUP(E$8,'Aging Factor'!$A$145:$G$242,5,1)*(G$8/L$8/12500)*('Degradation Model'!$B$26/F$8))</f>
        <v>6.6739126104672888</v>
      </c>
      <c r="D236" s="13">
        <f>D235+(C233*100/I235)</f>
        <v>7.3449505612176642</v>
      </c>
      <c r="E236" s="13">
        <f>((VLOOKUP(E$8,'Aging Factor'!$A$145:$H$242,8,1)-1)*F236*J$8/7)</f>
        <v>1.2951137878207588</v>
      </c>
      <c r="F236" s="13">
        <f t="shared" si="73"/>
        <v>16.873429874803538</v>
      </c>
      <c r="G236" s="13">
        <f t="shared" si="74"/>
        <v>18.168543662624298</v>
      </c>
      <c r="H236" s="13">
        <f t="shared" si="80"/>
        <v>3.083452947204913</v>
      </c>
      <c r="I236" s="13">
        <f t="shared" si="75"/>
        <v>81.831456337375698</v>
      </c>
      <c r="J236" s="14">
        <f t="shared" si="76"/>
        <v>229.94639230802571</v>
      </c>
      <c r="K236" s="15">
        <f t="shared" si="77"/>
        <v>67.561914129078858</v>
      </c>
      <c r="L236" s="14">
        <f t="shared" si="78"/>
        <v>189.84897870271161</v>
      </c>
    </row>
    <row r="237" spans="1:12">
      <c r="A237" s="32">
        <f t="shared" si="79"/>
        <v>5</v>
      </c>
      <c r="B237" s="13">
        <f>(VLOOKUP(E$8,'Aging Factor'!$A$145:$G$242,5,1)*(SQRT(A237+K$8-L$8)*Calibration!$B$49)-((0.32989795*(A237+K$8-L$8)-1.302)))</f>
        <v>10.286982939858554</v>
      </c>
      <c r="C237" s="13">
        <f>A237*$B$50*(VLOOKUP(E$8,'Aging Factor'!$A$145:$G$242,5,1)*(G$8/L$8/12500)*('Degradation Model'!$B$26/F$8))</f>
        <v>8.3423907630841114</v>
      </c>
      <c r="D237" s="13">
        <f>D236+(C233*100/I236)</f>
        <v>9.3838708338057515</v>
      </c>
      <c r="E237" s="13">
        <f>((VLOOKUP(E$8,'Aging Factor'!$A$145:$H$242,8,1)-1)*F237*J$8/7)</f>
        <v>1.509829011025257</v>
      </c>
      <c r="F237" s="13">
        <f t="shared" si="73"/>
        <v>19.670853773664305</v>
      </c>
      <c r="G237" s="13">
        <f t="shared" si="74"/>
        <v>21.180682784689562</v>
      </c>
      <c r="H237" s="13">
        <f t="shared" si="80"/>
        <v>3.012139122065264</v>
      </c>
      <c r="I237" s="13">
        <f t="shared" si="75"/>
        <v>78.819317215310434</v>
      </c>
      <c r="J237" s="33">
        <f t="shared" si="76"/>
        <v>221.48228137502232</v>
      </c>
      <c r="K237" s="15">
        <f t="shared" si="77"/>
        <v>65.075023466021435</v>
      </c>
      <c r="L237" s="14">
        <f t="shared" si="78"/>
        <v>182.86081593952022</v>
      </c>
    </row>
    <row r="238" spans="1:12">
      <c r="A238" s="28">
        <f t="shared" si="79"/>
        <v>6</v>
      </c>
      <c r="B238" s="13">
        <f>(VLOOKUP(E$8,'Aging Factor'!$A$145:$G$242,5,1)*(SQRT(A238+K$8-L$8)*Calibration!$B$49)-((0.32989795*(A238+K$8-L$8)-1.302)))</f>
        <v>10.944498053282249</v>
      </c>
      <c r="C238" s="13">
        <f>A238*$B$50*(VLOOKUP(E$8,'Aging Factor'!$A$145:$G$242,5,1)*(G$8/L$8/12500)*('Degradation Model'!$B$26/F$8))</f>
        <v>10.010868915700932</v>
      </c>
      <c r="D238" s="13">
        <f>D237+(C233*100/I237)</f>
        <v>11.500709968632366</v>
      </c>
      <c r="E238" s="13">
        <f>((VLOOKUP(E$8,'Aging Factor'!$A$145:$H$242,8,1)-1)*F238*J$8/7)</f>
        <v>1.7227735318409996</v>
      </c>
      <c r="F238" s="13">
        <f t="shared" si="73"/>
        <v>22.445208021914617</v>
      </c>
      <c r="G238" s="13">
        <f t="shared" si="74"/>
        <v>24.167981553755617</v>
      </c>
      <c r="H238" s="13">
        <f t="shared" si="80"/>
        <v>2.9872987690660544</v>
      </c>
      <c r="I238" s="13">
        <f t="shared" si="75"/>
        <v>75.832018446244376</v>
      </c>
      <c r="J238" s="14">
        <f t="shared" si="76"/>
        <v>213.08797183394668</v>
      </c>
      <c r="K238" s="15">
        <f t="shared" si="77"/>
        <v>62.608641564159065</v>
      </c>
      <c r="L238" s="14">
        <f t="shared" si="78"/>
        <v>175.93028279528696</v>
      </c>
    </row>
    <row r="239" spans="1:12">
      <c r="A239" s="28">
        <f t="shared" si="79"/>
        <v>7</v>
      </c>
      <c r="B239" s="13">
        <f>(VLOOKUP(E$8,'Aging Factor'!$A$145:$G$242,5,1)*(SQRT(A239+K$8-L$8)*Calibration!$B$49)-((0.32989795*(A239+K$8-L$8)-1.302)))</f>
        <v>11.524808324276297</v>
      </c>
      <c r="C239" s="13">
        <f>A239*$B$50*(VLOOKUP(E$8,'Aging Factor'!$A$145:$G$242,5,1)*(G$8/L$8/12500)*('Degradation Model'!$B$26/F$8))</f>
        <v>11.679347068317755</v>
      </c>
      <c r="D239" s="13">
        <f>D238+(C233*100/I238)</f>
        <v>13.700939089263738</v>
      </c>
      <c r="E239" s="13">
        <f>((VLOOKUP(E$8,'Aging Factor'!$A$145:$H$242,8,1)-1)*F239*J$8/7)</f>
        <v>1.9361927910190182</v>
      </c>
      <c r="F239" s="13">
        <f t="shared" si="73"/>
        <v>25.225747413540034</v>
      </c>
      <c r="G239" s="13">
        <f t="shared" si="74"/>
        <v>27.161940204559052</v>
      </c>
      <c r="H239" s="13">
        <f t="shared" si="80"/>
        <v>2.9939586508034353</v>
      </c>
      <c r="I239" s="13">
        <f t="shared" si="75"/>
        <v>72.838059795440955</v>
      </c>
      <c r="J239" s="14">
        <f t="shared" si="76"/>
        <v>204.67494802518908</v>
      </c>
      <c r="K239" s="15">
        <f t="shared" si="77"/>
        <v>60.136761112250191</v>
      </c>
      <c r="L239" s="14">
        <f t="shared" si="78"/>
        <v>168.98429872542303</v>
      </c>
    </row>
    <row r="240" spans="1:12">
      <c r="A240" s="28">
        <f t="shared" si="79"/>
        <v>8</v>
      </c>
      <c r="B240" s="13">
        <f>(VLOOKUP(E$8,'Aging Factor'!$A$145:$G$242,5,1)*(SQRT(A240+K$8-L$8)*Calibration!$B$49)-((0.32989795*(A240+K$8-L$8)-1.302)))</f>
        <v>12.043610330248757</v>
      </c>
      <c r="C240" s="13">
        <f>A240*$B$50*(VLOOKUP(E$8,'Aging Factor'!$A$145:$G$242,5,1)*(G$8/L$8/12500)*('Degradation Model'!$B$26/F$8))</f>
        <v>13.347825220934578</v>
      </c>
      <c r="D240" s="13">
        <f>D239+(C233*100/I239)</f>
        <v>15.991607123671287</v>
      </c>
      <c r="E240" s="13">
        <f>((VLOOKUP(E$8,'Aging Factor'!$A$145:$H$242,8,1)-1)*F240*J$8/7)</f>
        <v>2.1518326113023178</v>
      </c>
      <c r="F240" s="13">
        <f t="shared" si="73"/>
        <v>28.035217453920044</v>
      </c>
      <c r="G240" s="13">
        <f t="shared" si="74"/>
        <v>30.187050065222362</v>
      </c>
      <c r="H240" s="13">
        <f t="shared" si="80"/>
        <v>3.02510986066331</v>
      </c>
      <c r="I240" s="13">
        <f t="shared" si="75"/>
        <v>69.812949934777635</v>
      </c>
      <c r="J240" s="14">
        <f t="shared" si="76"/>
        <v>196.17438931672513</v>
      </c>
      <c r="K240" s="15">
        <f t="shared" si="77"/>
        <v>57.639161511987226</v>
      </c>
      <c r="L240" s="14">
        <f t="shared" si="78"/>
        <v>161.96604384868411</v>
      </c>
    </row>
    <row r="241" spans="1:12">
      <c r="A241" s="28">
        <f t="shared" si="79"/>
        <v>9</v>
      </c>
      <c r="B241" s="13">
        <f>(VLOOKUP(E$8,'Aging Factor'!$A$145:$G$242,5,1)*(SQRT(A241+K$8-L$8)*Calibration!$B$49)-((0.32989795*(A241+K$8-L$8)-1.302)))</f>
        <v>12.511908394302562</v>
      </c>
      <c r="C241" s="13">
        <f>A241*$B$50*(VLOOKUP(E$8,'Aging Factor'!$A$145:$G$242,5,1)*(G$8/L$8/12500)*('Degradation Model'!$B$26/F$8))</f>
        <v>15.0163033735514</v>
      </c>
      <c r="D241" s="13">
        <f>D240+(C233*100/I240)</f>
        <v>18.381533568801579</v>
      </c>
      <c r="E241" s="13">
        <f>((VLOOKUP(E$8,'Aging Factor'!$A$145:$H$242,8,1)-1)*F241*J$8/7)</f>
        <v>2.3712145625711107</v>
      </c>
      <c r="F241" s="13">
        <f t="shared" si="73"/>
        <v>30.893441963104141</v>
      </c>
      <c r="G241" s="13">
        <f t="shared" si="74"/>
        <v>33.26465652567525</v>
      </c>
      <c r="H241" s="13">
        <f t="shared" si="80"/>
        <v>3.0776064604528877</v>
      </c>
      <c r="I241" s="13">
        <f t="shared" si="75"/>
        <v>66.73534347432475</v>
      </c>
      <c r="J241" s="14">
        <f t="shared" si="76"/>
        <v>187.52631516285254</v>
      </c>
      <c r="K241" s="15">
        <f t="shared" si="77"/>
        <v>55.09821952328592</v>
      </c>
      <c r="L241" s="14">
        <f t="shared" si="78"/>
        <v>154.82599686043343</v>
      </c>
    </row>
    <row r="242" spans="1:12">
      <c r="A242" s="32">
        <f t="shared" si="79"/>
        <v>10</v>
      </c>
      <c r="B242" s="13">
        <f>(VLOOKUP(E$8,'Aging Factor'!$A$145:$G$242,5,1)*(SQRT(A242+K$8-L$8)*Calibration!$B$49)-((0.32989795*(A242+K$8-L$8)-1.302)))</f>
        <v>12.937771078325191</v>
      </c>
      <c r="C242" s="13">
        <f>A242*$B$50*(VLOOKUP(E$8,'Aging Factor'!$A$145:$G$242,5,1)*(G$8/L$8/12500)*('Degradation Model'!$B$26/F$8))</f>
        <v>16.684781526168223</v>
      </c>
      <c r="D242" s="13">
        <f>D241+(C233*100/I241)</f>
        <v>20.881675271464339</v>
      </c>
      <c r="E242" s="13">
        <f>((VLOOKUP(E$8,'Aging Factor'!$A$145:$H$242,8,1)-1)*F242*J$8/7)</f>
        <v>2.5957989329414173</v>
      </c>
      <c r="F242" s="13">
        <f t="shared" si="73"/>
        <v>33.81944634978953</v>
      </c>
      <c r="G242" s="13">
        <f t="shared" si="74"/>
        <v>36.41524528273095</v>
      </c>
      <c r="H242" s="13">
        <f t="shared" si="80"/>
        <v>3.1505887570557007</v>
      </c>
      <c r="I242" s="13">
        <f t="shared" si="75"/>
        <v>63.58475471726905</v>
      </c>
      <c r="J242" s="33">
        <f t="shared" si="76"/>
        <v>178.67316075552606</v>
      </c>
      <c r="K242" s="15">
        <f t="shared" si="77"/>
        <v>52.497021688279069</v>
      </c>
      <c r="L242" s="14">
        <f t="shared" si="78"/>
        <v>147.51663094406419</v>
      </c>
    </row>
    <row r="243" spans="1:12">
      <c r="A243" s="28">
        <f t="shared" si="79"/>
        <v>11</v>
      </c>
      <c r="B243" s="13">
        <f>(VLOOKUP(E$8,'Aging Factor'!$A$145:$G$242,5,1)*(SQRT(A243+K$8-L$8)*Calibration!$B$49)-((0.32989795*(A243+K$8-L$8)-1.302)))</f>
        <v>13.327323092443933</v>
      </c>
      <c r="C243" s="13">
        <f>A243*$B$50*(VLOOKUP(E$8,'Aging Factor'!$A$145:$G$242,5,1)*(G$8/L$8/12500)*('Degradation Model'!$B$26/F$8))</f>
        <v>18.353259678785044</v>
      </c>
      <c r="D243" s="13">
        <f>D242+(C233*100/I242)</f>
        <v>23.505697586303398</v>
      </c>
      <c r="E243" s="13">
        <f>((VLOOKUP(E$8,'Aging Factor'!$A$145:$H$242,8,1)-1)*F243*J$8/7)</f>
        <v>2.8271047014197057</v>
      </c>
      <c r="F243" s="13">
        <f t="shared" si="73"/>
        <v>36.833020678747332</v>
      </c>
      <c r="G243" s="13">
        <f t="shared" si="74"/>
        <v>39.660125380167038</v>
      </c>
      <c r="H243" s="13">
        <f t="shared" si="80"/>
        <v>3.2448800974360879</v>
      </c>
      <c r="I243" s="13">
        <f t="shared" si="75"/>
        <v>60.339874619832962</v>
      </c>
      <c r="J243" s="14">
        <f t="shared" si="76"/>
        <v>169.5550476817306</v>
      </c>
      <c r="K243" s="15">
        <f t="shared" si="77"/>
        <v>49.817974775093404</v>
      </c>
      <c r="L243" s="14">
        <f t="shared" si="78"/>
        <v>139.98850911801247</v>
      </c>
    </row>
    <row r="244" spans="1:12">
      <c r="A244" s="28">
        <f t="shared" si="79"/>
        <v>12</v>
      </c>
      <c r="B244" s="13">
        <f>(VLOOKUP(E$8,'Aging Factor'!$A$145:$G$242,5,1)*(SQRT(A244+K$8-L$8)*Calibration!$B$49)-((0.32989795*(A244+K$8-L$8)-1.302)))</f>
        <v>13.685343870937174</v>
      </c>
      <c r="C244" s="13">
        <f>A244*$B$50*(VLOOKUP(E$8,'Aging Factor'!$A$145:$G$242,5,1)*(G$8/L$8/12500)*('Degradation Model'!$B$26/F$8))</f>
        <v>20.021737831401865</v>
      </c>
      <c r="D244" s="13">
        <f>D243+(C233*100/I243)</f>
        <v>26.270831195096836</v>
      </c>
      <c r="E244" s="13">
        <f>((VLOOKUP(E$8,'Aging Factor'!$A$145:$H$242,8,1)-1)*F244*J$8/7)</f>
        <v>3.0668212462170308</v>
      </c>
      <c r="F244" s="13">
        <f t="shared" si="73"/>
        <v>39.956175066034007</v>
      </c>
      <c r="G244" s="13">
        <f t="shared" si="74"/>
        <v>43.022996312251038</v>
      </c>
      <c r="H244" s="13">
        <f t="shared" si="80"/>
        <v>3.3628709320840002</v>
      </c>
      <c r="I244" s="13">
        <f t="shared" si="75"/>
        <v>56.977003687748962</v>
      </c>
      <c r="J244" s="14">
        <f t="shared" si="76"/>
        <v>160.10538036257458</v>
      </c>
      <c r="K244" s="15">
        <f t="shared" si="77"/>
        <v>47.041511941486682</v>
      </c>
      <c r="L244" s="14">
        <f t="shared" si="78"/>
        <v>132.18664855557759</v>
      </c>
    </row>
    <row r="245" spans="1:12">
      <c r="A245" s="28">
        <f t="shared" si="79"/>
        <v>13</v>
      </c>
      <c r="B245" s="13">
        <f>(VLOOKUP(E$8,'Aging Factor'!$A$145:$G$242,5,1)*(SQRT(A245+K$8-L$8)*Calibration!$B$49)-((0.32989795*(A245+K$8-L$8)-1.302)))</f>
        <v>14.015648151381264</v>
      </c>
      <c r="C245" s="13">
        <f>A245*$B$50*(VLOOKUP(E$8,'Aging Factor'!$A$145:$G$242,5,1)*(G$8/L$8/12500)*('Degradation Model'!$B$26/F$8))</f>
        <v>21.690215984018689</v>
      </c>
      <c r="D245" s="13">
        <f>D244+(C233*100/I244)</f>
        <v>29.199167268647813</v>
      </c>
      <c r="E245" s="13">
        <f>((VLOOKUP(E$8,'Aging Factor'!$A$145:$H$242,8,1)-1)*F245*J$8/7)</f>
        <v>3.3169369656245098</v>
      </c>
      <c r="F245" s="13">
        <f t="shared" si="73"/>
        <v>43.214815420029076</v>
      </c>
      <c r="G245" s="13">
        <f t="shared" si="74"/>
        <v>46.531752385653583</v>
      </c>
      <c r="H245" s="13">
        <f t="shared" si="80"/>
        <v>3.5087560734025445</v>
      </c>
      <c r="I245" s="13">
        <f t="shared" si="75"/>
        <v>53.468247614346417</v>
      </c>
      <c r="J245" s="14">
        <f t="shared" si="76"/>
        <v>150.24577579631344</v>
      </c>
      <c r="K245" s="15">
        <f t="shared" si="77"/>
        <v>44.144603012556473</v>
      </c>
      <c r="L245" s="14">
        <f t="shared" si="78"/>
        <v>124.04633446528369</v>
      </c>
    </row>
    <row r="246" spans="1:12">
      <c r="A246" s="28">
        <f t="shared" si="79"/>
        <v>14</v>
      </c>
      <c r="B246" s="13">
        <f>(VLOOKUP(E$8,'Aging Factor'!$A$145:$G$242,5,1)*(SQRT(A246+K$8-L$8)*Calibration!$B$49)-((0.32989795*(A246+K$8-L$8)-1.302)))</f>
        <v>14.32133838940487</v>
      </c>
      <c r="C246" s="13">
        <f>A246*$B$50*(VLOOKUP(E$8,'Aging Factor'!$A$145:$G$242,5,1)*(G$8/L$8/12500)*('Degradation Model'!$B$26/F$8))</f>
        <v>23.35869413663551</v>
      </c>
      <c r="D246" s="13">
        <f>D245+(C233*100/I245)</f>
        <v>32.319670047514165</v>
      </c>
      <c r="E246" s="13">
        <f>((VLOOKUP(E$8,'Aging Factor'!$A$145:$H$242,8,1)-1)*F246*J$8/7)</f>
        <v>3.5799131268930293</v>
      </c>
      <c r="F246" s="13">
        <f t="shared" si="73"/>
        <v>46.641008436919037</v>
      </c>
      <c r="G246" s="13">
        <f t="shared" si="74"/>
        <v>50.22092156381207</v>
      </c>
      <c r="H246" s="13">
        <f t="shared" si="80"/>
        <v>3.6891691781584868</v>
      </c>
      <c r="I246" s="13">
        <f t="shared" si="75"/>
        <v>49.77907843618793</v>
      </c>
      <c r="J246" s="14">
        <f t="shared" si="76"/>
        <v>139.87921040568807</v>
      </c>
      <c r="K246" s="15">
        <f t="shared" si="77"/>
        <v>41.098740915286832</v>
      </c>
      <c r="L246" s="14">
        <f t="shared" si="78"/>
        <v>115.48746197195599</v>
      </c>
    </row>
    <row r="247" spans="1:12">
      <c r="A247" s="28">
        <f t="shared" si="79"/>
        <v>15</v>
      </c>
      <c r="B247" s="13">
        <f>(VLOOKUP(E$8,'Aging Factor'!$A$145:$G$242,5,1)*(SQRT(A247+K$8-L$8)*Calibration!$B$49)-((0.32989795*(A247+K$8-L$8)-1.302)))</f>
        <v>14.604978117692136</v>
      </c>
      <c r="C247" s="13">
        <f>A247*$B$50*(VLOOKUP(E$8,'Aging Factor'!$A$145:$G$242,5,1)*(G$8/L$8/12500)*('Degradation Model'!$B$26/F$8))</f>
        <v>25.027172289252334</v>
      </c>
      <c r="D247" s="13">
        <f>D246+(C233*100/I246)</f>
        <v>35.671435899820274</v>
      </c>
      <c r="E247" s="13">
        <f>((VLOOKUP(E$8,'Aging Factor'!$A$145:$H$242,8,1)-1)*F247*J$8/7)</f>
        <v>3.8589473200998108</v>
      </c>
      <c r="F247" s="13">
        <f t="shared" si="73"/>
        <v>50.276414017512408</v>
      </c>
      <c r="G247" s="13">
        <f t="shared" si="74"/>
        <v>54.135361337612217</v>
      </c>
      <c r="H247" s="13">
        <f t="shared" si="80"/>
        <v>3.9144397738001473</v>
      </c>
      <c r="I247" s="13">
        <f t="shared" si="75"/>
        <v>45.864638662387783</v>
      </c>
      <c r="J247" s="14">
        <f t="shared" si="76"/>
        <v>128.87963464130968</v>
      </c>
      <c r="K247" s="15">
        <f t="shared" si="77"/>
        <v>37.866890283537238</v>
      </c>
      <c r="L247" s="14">
        <f t="shared" si="78"/>
        <v>106.40596169673965</v>
      </c>
    </row>
    <row r="250" spans="1:12">
      <c r="A250" s="7" t="s">
        <v>87</v>
      </c>
    </row>
    <row r="252" spans="1:12">
      <c r="A252" s="29"/>
      <c r="B252" s="29" t="s">
        <v>54</v>
      </c>
      <c r="C252" s="29" t="s">
        <v>54</v>
      </c>
      <c r="D252" s="29" t="s">
        <v>2</v>
      </c>
      <c r="E252" s="29" t="s">
        <v>3</v>
      </c>
      <c r="F252" s="29" t="s">
        <v>4</v>
      </c>
      <c r="G252" s="29" t="s">
        <v>54</v>
      </c>
      <c r="H252" s="29" t="s">
        <v>55</v>
      </c>
      <c r="I252" s="29" t="s">
        <v>6</v>
      </c>
      <c r="J252" s="29" t="s">
        <v>7</v>
      </c>
      <c r="K252" s="29" t="s">
        <v>8</v>
      </c>
      <c r="L252" s="29" t="s">
        <v>8</v>
      </c>
    </row>
    <row r="253" spans="1:12">
      <c r="A253" s="29" t="s">
        <v>56</v>
      </c>
      <c r="B253" s="29" t="s">
        <v>9</v>
      </c>
      <c r="C253" s="29" t="s">
        <v>10</v>
      </c>
      <c r="D253" s="29" t="s">
        <v>10</v>
      </c>
      <c r="E253" s="29" t="s">
        <v>11</v>
      </c>
      <c r="F253" s="29" t="s">
        <v>10</v>
      </c>
      <c r="G253" s="29" t="s">
        <v>12</v>
      </c>
      <c r="H253" s="29" t="s">
        <v>57</v>
      </c>
      <c r="I253" s="29" t="s">
        <v>52</v>
      </c>
      <c r="J253" s="29" t="s">
        <v>14</v>
      </c>
      <c r="K253" s="29" t="s">
        <v>15</v>
      </c>
      <c r="L253" s="29" t="s">
        <v>14</v>
      </c>
    </row>
    <row r="254" spans="1:12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</row>
    <row r="255" spans="1:12">
      <c r="A255" s="32">
        <v>1</v>
      </c>
      <c r="B255" s="13">
        <f>(VLOOKUP(E$9,'Aging Factor'!$A$145:$G$242,5,1)*(SQRT(A255+K$9-L$9)*Calibration!$B$49)-((0.32989795*(A255+K$9-L$9)-1.302)))</f>
        <v>9.604416423569452</v>
      </c>
      <c r="C255" s="13">
        <f>A255*$B$50*(VLOOKUP(E$9,'Aging Factor'!$A$145:$G$242,5,1)*(G$9/L$9/12500)*('Degradation Model'!$B$26/F$9))</f>
        <v>4.1275732517784993</v>
      </c>
      <c r="D255" s="13">
        <f>C255</f>
        <v>4.1275732517784993</v>
      </c>
      <c r="E255" s="13">
        <f>((VLOOKUP(E$9,'Aging Factor'!$A$145:$H$242,8,1)-1)*F255*J$9/7)</f>
        <v>1.9408944232302721</v>
      </c>
      <c r="F255" s="13">
        <f t="shared" ref="F255:F269" si="81">B255+D255</f>
        <v>13.73198967534795</v>
      </c>
      <c r="G255" s="13">
        <f t="shared" ref="G255:G269" si="82">F255+E255</f>
        <v>15.672884098578223</v>
      </c>
      <c r="H255" s="13">
        <f>G255</f>
        <v>15.672884098578223</v>
      </c>
      <c r="I255" s="13">
        <f t="shared" ref="I255:I269" si="83">IF(100-G255&lt;=5,5,100-G255)</f>
        <v>84.327115901421777</v>
      </c>
      <c r="J255" s="33">
        <f t="shared" ref="J255:J269" si="84">IF(281*I255/100&gt;0,281*I255/100,0)</f>
        <v>236.95919568299519</v>
      </c>
      <c r="K255" s="15">
        <f t="shared" ref="K255:K269" si="85">IF(L255/281*100&gt;0,L255/281*100,0)</f>
        <v>69.622387505800191</v>
      </c>
      <c r="L255" s="14">
        <f t="shared" ref="L255:L269" si="86">IF(I255*232/100&gt;0,I255*232/100,0)</f>
        <v>195.63890889129851</v>
      </c>
    </row>
    <row r="256" spans="1:12">
      <c r="A256" s="28">
        <f t="shared" ref="A256:A269" si="87">A255+1</f>
        <v>2</v>
      </c>
      <c r="B256" s="13">
        <f>(VLOOKUP(E$9,'Aging Factor'!$A$145:$G$242,5,1)*(SQRT(A256+K$9-L$9)*Calibration!$B$49)-((0.32989795*(A256+K$9-L$9)-1.302)))</f>
        <v>12.538762541158027</v>
      </c>
      <c r="C256" s="13">
        <f>A256*$B$50*(VLOOKUP(E$9,'Aging Factor'!$A$145:$G$242,5,1)*(G$9/L$9/12500)*('Degradation Model'!$B$26/F$9))</f>
        <v>8.2551465035569986</v>
      </c>
      <c r="D256" s="13">
        <f>D255+(C255*100/I255)</f>
        <v>9.0222897467711931</v>
      </c>
      <c r="E256" s="13">
        <f>((VLOOKUP(E$9,'Aging Factor'!$A$145:$H$242,8,1)-1)*F256*J$9/7)</f>
        <v>3.0474626863246428</v>
      </c>
      <c r="F256" s="13">
        <f t="shared" si="81"/>
        <v>21.561052287929222</v>
      </c>
      <c r="G256" s="13">
        <f t="shared" si="82"/>
        <v>24.608514974253865</v>
      </c>
      <c r="H256" s="13">
        <f t="shared" ref="H256:H269" si="88">G256-G255</f>
        <v>8.935630875675642</v>
      </c>
      <c r="I256" s="13">
        <f t="shared" si="83"/>
        <v>75.391485025746135</v>
      </c>
      <c r="J256" s="14">
        <f t="shared" si="84"/>
        <v>211.85007292234661</v>
      </c>
      <c r="K256" s="15">
        <f t="shared" si="85"/>
        <v>62.244927138694315</v>
      </c>
      <c r="L256" s="14">
        <f t="shared" si="86"/>
        <v>174.90824525973105</v>
      </c>
    </row>
    <row r="257" spans="1:12">
      <c r="A257" s="28">
        <f t="shared" si="87"/>
        <v>3</v>
      </c>
      <c r="B257" s="13">
        <f>(VLOOKUP(E$9,'Aging Factor'!$A$145:$G$242,5,1)*(SQRT(A257+K$9-L$9)*Calibration!$B$49)-((0.32989795*(A257+K$9-L$9)-1.302)))</f>
        <v>14.755130045488876</v>
      </c>
      <c r="C257" s="13">
        <f>A257*$B$50*(VLOOKUP(E$9,'Aging Factor'!$A$145:$G$242,5,1)*(G$9/L$9/12500)*('Degradation Model'!$B$26/F$9))</f>
        <v>12.382719755335497</v>
      </c>
      <c r="D257" s="13">
        <f>D256+(C255*100/I256)</f>
        <v>14.497143107689784</v>
      </c>
      <c r="E257" s="13">
        <f>((VLOOKUP(E$9,'Aging Factor'!$A$145:$H$242,8,1)-1)*F257*J$9/7)</f>
        <v>4.1345482462558332</v>
      </c>
      <c r="F257" s="13">
        <f t="shared" si="81"/>
        <v>29.25227315317866</v>
      </c>
      <c r="G257" s="13">
        <f t="shared" si="82"/>
        <v>33.386821399434496</v>
      </c>
      <c r="H257" s="13">
        <f t="shared" si="88"/>
        <v>8.7783064251806309</v>
      </c>
      <c r="I257" s="13">
        <f t="shared" si="83"/>
        <v>66.613178600565504</v>
      </c>
      <c r="J257" s="14">
        <f t="shared" si="84"/>
        <v>187.18303186758905</v>
      </c>
      <c r="K257" s="15">
        <f t="shared" si="85"/>
        <v>54.997357421107459</v>
      </c>
      <c r="L257" s="14">
        <f t="shared" si="86"/>
        <v>154.54257435331198</v>
      </c>
    </row>
    <row r="258" spans="1:12">
      <c r="A258" s="28">
        <f t="shared" si="87"/>
        <v>4</v>
      </c>
      <c r="B258" s="13">
        <f>(VLOOKUP(E$9,'Aging Factor'!$A$145:$G$242,5,1)*(SQRT(A258+K$9-L$9)*Calibration!$B$49)-((0.32989795*(A258+K$9-L$9)-1.302)))</f>
        <v>16.586388316533998</v>
      </c>
      <c r="C258" s="13">
        <f>A258*$B$50*(VLOOKUP(E$9,'Aging Factor'!$A$145:$G$242,5,1)*(G$9/L$9/12500)*('Degradation Model'!$B$26/F$9))</f>
        <v>16.510293007113997</v>
      </c>
      <c r="D258" s="13">
        <f>D257+(C255*100/I257)</f>
        <v>20.693474432049463</v>
      </c>
      <c r="E258" s="13">
        <f>((VLOOKUP(E$9,'Aging Factor'!$A$145:$H$242,8,1)-1)*F258*J$9/7)</f>
        <v>5.2691765299978055</v>
      </c>
      <c r="F258" s="13">
        <f t="shared" si="81"/>
        <v>37.279862748583461</v>
      </c>
      <c r="G258" s="13">
        <f t="shared" si="82"/>
        <v>42.549039278581269</v>
      </c>
      <c r="H258" s="13">
        <f t="shared" si="88"/>
        <v>9.1622178791467732</v>
      </c>
      <c r="I258" s="13">
        <f t="shared" si="83"/>
        <v>57.450960721418731</v>
      </c>
      <c r="J258" s="14">
        <f t="shared" si="84"/>
        <v>161.43719962718663</v>
      </c>
      <c r="K258" s="15">
        <f t="shared" si="85"/>
        <v>47.432821663235387</v>
      </c>
      <c r="L258" s="14">
        <f t="shared" si="86"/>
        <v>133.28622887369144</v>
      </c>
    </row>
    <row r="259" spans="1:12">
      <c r="A259" s="32">
        <f t="shared" si="87"/>
        <v>5</v>
      </c>
      <c r="B259" s="13">
        <f>(VLOOKUP(E$9,'Aging Factor'!$A$145:$G$242,5,1)*(SQRT(A259+K$9-L$9)*Calibration!$B$49)-((0.32989795*(A259+K$9-L$9)-1.302)))</f>
        <v>18.167600993321287</v>
      </c>
      <c r="C259" s="13">
        <f>A259*$B$50*(VLOOKUP(E$9,'Aging Factor'!$A$145:$G$242,5,1)*(G$9/L$9/12500)*('Degradation Model'!$B$26/F$9))</f>
        <v>20.637866258892497</v>
      </c>
      <c r="D259" s="13">
        <f>D258+(C255*100/I258)</f>
        <v>27.877990060592584</v>
      </c>
      <c r="E259" s="13">
        <f>((VLOOKUP(E$9,'Aging Factor'!$A$145:$H$242,8,1)-1)*F259*J$9/7)</f>
        <v>6.5081341454342896</v>
      </c>
      <c r="F259" s="13">
        <f t="shared" si="81"/>
        <v>46.045591053913867</v>
      </c>
      <c r="G259" s="13">
        <f t="shared" si="82"/>
        <v>52.553725199348158</v>
      </c>
      <c r="H259" s="13">
        <f t="shared" si="88"/>
        <v>10.004685920766889</v>
      </c>
      <c r="I259" s="13">
        <f t="shared" si="83"/>
        <v>47.446274800651842</v>
      </c>
      <c r="J259" s="33">
        <f t="shared" si="84"/>
        <v>133.32403218983166</v>
      </c>
      <c r="K259" s="15">
        <f t="shared" si="85"/>
        <v>39.172725102317536</v>
      </c>
      <c r="L259" s="14">
        <f t="shared" si="86"/>
        <v>110.07535753751228</v>
      </c>
    </row>
    <row r="260" spans="1:12">
      <c r="A260" s="28">
        <f t="shared" si="87"/>
        <v>6</v>
      </c>
      <c r="B260" s="13">
        <f>(VLOOKUP(E$9,'Aging Factor'!$A$145:$G$242,5,1)*(SQRT(A260+K$9-L$9)*Calibration!$B$49)-((0.32989795*(A260+K$9-L$9)-1.302)))</f>
        <v>19.569561401636982</v>
      </c>
      <c r="C260" s="13">
        <f>A260*$B$50*(VLOOKUP(E$9,'Aging Factor'!$A$145:$G$242,5,1)*(G$9/L$9/12500)*('Degradation Model'!$B$26/F$9))</f>
        <v>24.765439510670994</v>
      </c>
      <c r="D260" s="13">
        <f>D259+(C255*100/I259)</f>
        <v>36.577457551182157</v>
      </c>
      <c r="E260" s="13">
        <f>((VLOOKUP(E$9,'Aging Factor'!$A$145:$H$242,8,1)-1)*F260*J$9/7)</f>
        <v>7.9358810007093723</v>
      </c>
      <c r="F260" s="13">
        <f t="shared" si="81"/>
        <v>56.147018952819138</v>
      </c>
      <c r="G260" s="13">
        <f t="shared" si="82"/>
        <v>64.082899953528511</v>
      </c>
      <c r="H260" s="13">
        <f t="shared" si="88"/>
        <v>11.529174754180353</v>
      </c>
      <c r="I260" s="13">
        <f t="shared" si="83"/>
        <v>35.917100046471489</v>
      </c>
      <c r="J260" s="14">
        <f t="shared" si="84"/>
        <v>100.92705113058487</v>
      </c>
      <c r="K260" s="15">
        <f t="shared" si="85"/>
        <v>29.653975839079667</v>
      </c>
      <c r="L260" s="14">
        <f t="shared" si="86"/>
        <v>83.327672107813854</v>
      </c>
    </row>
    <row r="261" spans="1:12">
      <c r="A261" s="28">
        <f t="shared" si="87"/>
        <v>7</v>
      </c>
      <c r="B261" s="13">
        <f>(VLOOKUP(E$9,'Aging Factor'!$A$145:$G$242,5,1)*(SQRT(A261+K$9-L$9)*Calibration!$B$49)-((0.32989795*(A261+K$9-L$9)-1.302)))</f>
        <v>20.834873862634254</v>
      </c>
      <c r="C261" s="13">
        <f>A261*$B$50*(VLOOKUP(E$9,'Aging Factor'!$A$145:$G$242,5,1)*(G$9/L$9/12500)*('Degradation Model'!$B$26/F$9))</f>
        <v>28.893012762449494</v>
      </c>
      <c r="D261" s="13">
        <f>D260+(C255*100/I260)</f>
        <v>48.069402186016319</v>
      </c>
      <c r="E261" s="13">
        <f>((VLOOKUP(E$9,'Aging Factor'!$A$145:$H$242,8,1)-1)*F261*J$9/7)</f>
        <v>9.7390056562328731</v>
      </c>
      <c r="F261" s="13">
        <f t="shared" si="81"/>
        <v>68.904276048650573</v>
      </c>
      <c r="G261" s="13">
        <f t="shared" si="82"/>
        <v>78.643281704883449</v>
      </c>
      <c r="H261" s="13">
        <f t="shared" si="88"/>
        <v>14.560381751354939</v>
      </c>
      <c r="I261" s="13">
        <f t="shared" si="83"/>
        <v>21.356718295116551</v>
      </c>
      <c r="J261" s="14">
        <f t="shared" si="84"/>
        <v>60.01237840927751</v>
      </c>
      <c r="K261" s="15">
        <f t="shared" si="85"/>
        <v>17.632593040807969</v>
      </c>
      <c r="L261" s="14">
        <f t="shared" si="86"/>
        <v>49.547586444670394</v>
      </c>
    </row>
    <row r="262" spans="1:12">
      <c r="A262" s="28">
        <f t="shared" si="87"/>
        <v>8</v>
      </c>
      <c r="B262" s="13">
        <f>(VLOOKUP(E$9,'Aging Factor'!$A$145:$G$242,5,1)*(SQRT(A262+K$9-L$9)*Calibration!$B$49)-((0.32989795*(A262+K$9-L$9)-1.302)))</f>
        <v>21.991540355890759</v>
      </c>
      <c r="C262" s="13">
        <f>A262*$B$50*(VLOOKUP(E$9,'Aging Factor'!$A$145:$G$242,5,1)*(G$9/L$9/12500)*('Degradation Model'!$B$26/F$9))</f>
        <v>33.020586014227995</v>
      </c>
      <c r="D262" s="13">
        <f>D261+(C255*100/I261)</f>
        <v>67.396216328254241</v>
      </c>
      <c r="E262" s="13">
        <f>((VLOOKUP(E$9,'Aging Factor'!$A$145:$H$242,8,1)-1)*F262*J$9/7)</f>
        <v>12.634163187930408</v>
      </c>
      <c r="F262" s="13">
        <f t="shared" si="81"/>
        <v>89.387756684145003</v>
      </c>
      <c r="G262" s="13">
        <f t="shared" si="82"/>
        <v>102.02191987207542</v>
      </c>
      <c r="H262" s="13">
        <f t="shared" si="88"/>
        <v>23.378638167191966</v>
      </c>
      <c r="I262" s="13">
        <f t="shared" si="83"/>
        <v>5</v>
      </c>
      <c r="J262" s="14">
        <f t="shared" si="84"/>
        <v>14.05</v>
      </c>
      <c r="K262" s="15">
        <f t="shared" si="85"/>
        <v>4.1281138790035588</v>
      </c>
      <c r="L262" s="14">
        <f t="shared" si="86"/>
        <v>11.6</v>
      </c>
    </row>
    <row r="263" spans="1:12">
      <c r="A263" s="28">
        <f t="shared" si="87"/>
        <v>9</v>
      </c>
      <c r="B263" s="13">
        <f>(VLOOKUP(E$9,'Aging Factor'!$A$145:$G$242,5,1)*(SQRT(A263+K$9-L$9)*Calibration!$B$49)-((0.32989795*(A263+K$9-L$9)-1.302)))</f>
        <v>23.059133571921862</v>
      </c>
      <c r="C263" s="13">
        <f>A263*$B$50*(VLOOKUP(E$9,'Aging Factor'!$A$145:$G$242,5,1)*(G$9/L$9/12500)*('Degradation Model'!$B$26/F$9))</f>
        <v>37.148159266006495</v>
      </c>
      <c r="D263" s="13">
        <f>D262+(C255*100/I262)</f>
        <v>149.94768136382422</v>
      </c>
      <c r="E263" s="13">
        <f>((VLOOKUP(E$9,'Aging Factor'!$A$145:$H$242,8,1)-1)*F263*J$9/7)</f>
        <v>24.452972236968485</v>
      </c>
      <c r="F263" s="13">
        <f t="shared" si="81"/>
        <v>173.00681493574609</v>
      </c>
      <c r="G263" s="13">
        <f t="shared" si="82"/>
        <v>197.45978717271458</v>
      </c>
      <c r="H263" s="13">
        <f t="shared" si="88"/>
        <v>95.437867300639169</v>
      </c>
      <c r="I263" s="13">
        <f t="shared" si="83"/>
        <v>5</v>
      </c>
      <c r="J263" s="14">
        <f t="shared" si="84"/>
        <v>14.05</v>
      </c>
      <c r="K263" s="15">
        <f t="shared" si="85"/>
        <v>4.1281138790035588</v>
      </c>
      <c r="L263" s="14">
        <f t="shared" si="86"/>
        <v>11.6</v>
      </c>
    </row>
    <row r="264" spans="1:12">
      <c r="A264" s="32">
        <f t="shared" si="87"/>
        <v>10</v>
      </c>
      <c r="B264" s="13">
        <f>(VLOOKUP(E$9,'Aging Factor'!$A$145:$G$242,5,1)*(SQRT(A264+K$9-L$9)*Calibration!$B$49)-((0.32989795*(A264+K$9-L$9)-1.302)))</f>
        <v>24.051972066983957</v>
      </c>
      <c r="C264" s="13">
        <f>A264*$B$50*(VLOOKUP(E$9,'Aging Factor'!$A$145:$G$242,5,1)*(G$9/L$9/12500)*('Degradation Model'!$B$26/F$9))</f>
        <v>41.275732517784995</v>
      </c>
      <c r="D264" s="13">
        <f>D263+(C255*100/I263)</f>
        <v>232.49914639939419</v>
      </c>
      <c r="E264" s="13">
        <f>((VLOOKUP(E$9,'Aging Factor'!$A$145:$H$242,8,1)-1)*F264*J$9/7)</f>
        <v>36.261215372073544</v>
      </c>
      <c r="F264" s="13">
        <f t="shared" si="81"/>
        <v>256.55111846637817</v>
      </c>
      <c r="G264" s="13">
        <f t="shared" si="82"/>
        <v>292.81233383845171</v>
      </c>
      <c r="H264" s="13">
        <f t="shared" si="88"/>
        <v>95.352546665737123</v>
      </c>
      <c r="I264" s="13">
        <f t="shared" si="83"/>
        <v>5</v>
      </c>
      <c r="J264" s="33">
        <f t="shared" si="84"/>
        <v>14.05</v>
      </c>
      <c r="K264" s="15">
        <f t="shared" si="85"/>
        <v>4.1281138790035588</v>
      </c>
      <c r="L264" s="14">
        <f t="shared" si="86"/>
        <v>11.6</v>
      </c>
    </row>
    <row r="265" spans="1:12">
      <c r="A265" s="28">
        <f t="shared" si="87"/>
        <v>11</v>
      </c>
      <c r="B265" s="13">
        <f>(VLOOKUP(E$9,'Aging Factor'!$A$145:$G$242,5,1)*(SQRT(A265+K$9-L$9)*Calibration!$B$49)-((0.32989795*(A265+K$9-L$9)-1.302)))</f>
        <v>24.980905479506369</v>
      </c>
      <c r="C265" s="13">
        <f>A265*$B$50*(VLOOKUP(E$9,'Aging Factor'!$A$145:$G$242,5,1)*(G$9/L$9/12500)*('Degradation Model'!$B$26/F$9))</f>
        <v>45.403305769563495</v>
      </c>
      <c r="D265" s="13">
        <f>D264+(C255*100/I264)</f>
        <v>315.05061143496414</v>
      </c>
      <c r="E265" s="13">
        <f>((VLOOKUP(E$9,'Aging Factor'!$A$145:$H$242,8,1)-1)*F265*J$9/7)</f>
        <v>48.060426092994646</v>
      </c>
      <c r="F265" s="13">
        <f t="shared" si="81"/>
        <v>340.0315169144705</v>
      </c>
      <c r="G265" s="13">
        <f t="shared" si="82"/>
        <v>388.09194300746515</v>
      </c>
      <c r="H265" s="13">
        <f t="shared" si="88"/>
        <v>95.27960916901344</v>
      </c>
      <c r="I265" s="13">
        <f t="shared" si="83"/>
        <v>5</v>
      </c>
      <c r="J265" s="14">
        <f t="shared" si="84"/>
        <v>14.05</v>
      </c>
      <c r="K265" s="15">
        <f t="shared" si="85"/>
        <v>4.1281138790035588</v>
      </c>
      <c r="L265" s="14">
        <f t="shared" si="86"/>
        <v>11.6</v>
      </c>
    </row>
    <row r="266" spans="1:12">
      <c r="A266" s="28">
        <f t="shared" si="87"/>
        <v>12</v>
      </c>
      <c r="B266" s="13">
        <f>(VLOOKUP(E$9,'Aging Factor'!$A$145:$G$242,5,1)*(SQRT(A266+K$9-L$9)*Calibration!$B$49)-((0.32989795*(A266+K$9-L$9)-1.302)))</f>
        <v>25.854388193571804</v>
      </c>
      <c r="C266" s="13">
        <f>A266*$B$50*(VLOOKUP(E$9,'Aging Factor'!$A$145:$G$242,5,1)*(G$9/L$9/12500)*('Degradation Model'!$B$26/F$9))</f>
        <v>49.530879021341988</v>
      </c>
      <c r="D266" s="13">
        <f>D265+(C255*100/I265)</f>
        <v>397.60207647053414</v>
      </c>
      <c r="E266" s="13">
        <f>((VLOOKUP(E$9,'Aging Factor'!$A$145:$H$242,8,1)-1)*F266*J$9/7)</f>
        <v>59.85179935161468</v>
      </c>
      <c r="F266" s="13">
        <f t="shared" si="81"/>
        <v>423.45646466410597</v>
      </c>
      <c r="G266" s="13">
        <f t="shared" si="82"/>
        <v>483.30826401572062</v>
      </c>
      <c r="H266" s="13">
        <f t="shared" si="88"/>
        <v>95.216321008255477</v>
      </c>
      <c r="I266" s="13">
        <f t="shared" si="83"/>
        <v>5</v>
      </c>
      <c r="J266" s="14">
        <f t="shared" si="84"/>
        <v>14.05</v>
      </c>
      <c r="K266" s="15">
        <f t="shared" si="85"/>
        <v>4.1281138790035588</v>
      </c>
      <c r="L266" s="14">
        <f t="shared" si="86"/>
        <v>11.6</v>
      </c>
    </row>
    <row r="267" spans="1:12">
      <c r="A267" s="28">
        <f t="shared" si="87"/>
        <v>13</v>
      </c>
      <c r="B267" s="13">
        <f>(VLOOKUP(E$9,'Aging Factor'!$A$145:$G$242,5,1)*(SQRT(A267+K$9-L$9)*Calibration!$B$49)-((0.32989795*(A267+K$9-L$9)-1.302)))</f>
        <v>26.679160139918388</v>
      </c>
      <c r="C267" s="13">
        <f>A267*$B$50*(VLOOKUP(E$9,'Aging Factor'!$A$145:$G$242,5,1)*(G$9/L$9/12500)*('Degradation Model'!$B$26/F$9))</f>
        <v>53.658452273120488</v>
      </c>
      <c r="D267" s="13">
        <f>D266+(C255*100/I266)</f>
        <v>480.15354150610415</v>
      </c>
      <c r="E267" s="13">
        <f>((VLOOKUP(E$9,'Aging Factor'!$A$145:$H$242,8,1)-1)*F267*J$9/7)</f>
        <v>71.636287777107697</v>
      </c>
      <c r="F267" s="13">
        <f t="shared" si="81"/>
        <v>506.83270164602254</v>
      </c>
      <c r="G267" s="13">
        <f t="shared" si="82"/>
        <v>578.46898942313021</v>
      </c>
      <c r="H267" s="13">
        <f t="shared" si="88"/>
        <v>95.160725407409586</v>
      </c>
      <c r="I267" s="13">
        <f t="shared" si="83"/>
        <v>5</v>
      </c>
      <c r="J267" s="14">
        <f t="shared" si="84"/>
        <v>14.05</v>
      </c>
      <c r="K267" s="15">
        <f t="shared" si="85"/>
        <v>4.1281138790035588</v>
      </c>
      <c r="L267" s="14">
        <f t="shared" si="86"/>
        <v>11.6</v>
      </c>
    </row>
    <row r="268" spans="1:12">
      <c r="A268" s="28">
        <f t="shared" si="87"/>
        <v>14</v>
      </c>
      <c r="B268" s="13">
        <f>(VLOOKUP(E$9,'Aging Factor'!$A$145:$G$242,5,1)*(SQRT(A268+K$9-L$9)*Calibration!$B$49)-((0.32989795*(A268+K$9-L$9)-1.302)))</f>
        <v>27.460697332130856</v>
      </c>
      <c r="C268" s="13">
        <f>A268*$B$50*(VLOOKUP(E$9,'Aging Factor'!$A$145:$G$242,5,1)*(G$9/L$9/12500)*('Degradation Model'!$B$26/F$9))</f>
        <v>57.786025524898989</v>
      </c>
      <c r="D268" s="13">
        <f>D267+(C255*100/I267)</f>
        <v>562.70500654167415</v>
      </c>
      <c r="E268" s="13">
        <f>((VLOOKUP(E$9,'Aging Factor'!$A$145:$H$242,8,1)-1)*F268*J$9/7)</f>
        <v>83.414665355216428</v>
      </c>
      <c r="F268" s="13">
        <f t="shared" si="81"/>
        <v>590.165703873805</v>
      </c>
      <c r="G268" s="13">
        <f t="shared" si="82"/>
        <v>673.58036922902147</v>
      </c>
      <c r="H268" s="13">
        <f t="shared" si="88"/>
        <v>95.111379805891261</v>
      </c>
      <c r="I268" s="13">
        <f t="shared" si="83"/>
        <v>5</v>
      </c>
      <c r="J268" s="14">
        <f t="shared" si="84"/>
        <v>14.05</v>
      </c>
      <c r="K268" s="15">
        <f t="shared" si="85"/>
        <v>4.1281138790035588</v>
      </c>
      <c r="L268" s="14">
        <f t="shared" si="86"/>
        <v>11.6</v>
      </c>
    </row>
    <row r="269" spans="1:12">
      <c r="A269" s="28">
        <f t="shared" si="87"/>
        <v>15</v>
      </c>
      <c r="B269" s="13">
        <f>(VLOOKUP(E$9,'Aging Factor'!$A$145:$G$242,5,1)*(SQRT(A269+K$9-L$9)*Calibration!$B$49)-((0.32989795*(A269+K$9-L$9)-1.302)))</f>
        <v>28.20352072577062</v>
      </c>
      <c r="C269" s="13">
        <f>A269*$B$50*(VLOOKUP(E$9,'Aging Factor'!$A$145:$G$242,5,1)*(G$9/L$9/12500)*('Degradation Model'!$B$26/F$9))</f>
        <v>61.913598776677489</v>
      </c>
      <c r="D269" s="13">
        <f>D268+(C255*100/I268)</f>
        <v>645.25647157724416</v>
      </c>
      <c r="E269" s="13">
        <f>((VLOOKUP(E$9,'Aging Factor'!$A$145:$H$242,8,1)-1)*F269*J$9/7)</f>
        <v>95.187571082739169</v>
      </c>
      <c r="F269" s="13">
        <f t="shared" si="81"/>
        <v>673.45999230301481</v>
      </c>
      <c r="G269" s="13">
        <f t="shared" si="82"/>
        <v>768.64756338575398</v>
      </c>
      <c r="H269" s="13">
        <f t="shared" si="88"/>
        <v>95.067194156732512</v>
      </c>
      <c r="I269" s="13">
        <f t="shared" si="83"/>
        <v>5</v>
      </c>
      <c r="J269" s="14">
        <f t="shared" si="84"/>
        <v>14.05</v>
      </c>
      <c r="K269" s="15">
        <f t="shared" si="85"/>
        <v>4.1281138790035588</v>
      </c>
      <c r="L269" s="14">
        <f t="shared" si="86"/>
        <v>11.6</v>
      </c>
    </row>
    <row r="272" spans="1:12">
      <c r="A272" s="7" t="s">
        <v>89</v>
      </c>
    </row>
    <row r="274" spans="1:12">
      <c r="A274" s="29"/>
      <c r="B274" s="29" t="s">
        <v>54</v>
      </c>
      <c r="C274" s="29" t="s">
        <v>54</v>
      </c>
      <c r="D274" s="29" t="s">
        <v>2</v>
      </c>
      <c r="E274" s="29" t="s">
        <v>3</v>
      </c>
      <c r="F274" s="29" t="s">
        <v>4</v>
      </c>
      <c r="G274" s="29" t="s">
        <v>54</v>
      </c>
      <c r="H274" s="29" t="s">
        <v>55</v>
      </c>
      <c r="I274" s="29" t="s">
        <v>6</v>
      </c>
      <c r="J274" s="29" t="s">
        <v>7</v>
      </c>
      <c r="K274" s="29" t="s">
        <v>8</v>
      </c>
      <c r="L274" s="29" t="s">
        <v>8</v>
      </c>
    </row>
    <row r="275" spans="1:12">
      <c r="A275" s="29" t="s">
        <v>56</v>
      </c>
      <c r="B275" s="29" t="s">
        <v>9</v>
      </c>
      <c r="C275" s="29" t="s">
        <v>10</v>
      </c>
      <c r="D275" s="29" t="s">
        <v>10</v>
      </c>
      <c r="E275" s="29" t="s">
        <v>11</v>
      </c>
      <c r="F275" s="29" t="s">
        <v>10</v>
      </c>
      <c r="G275" s="29" t="s">
        <v>12</v>
      </c>
      <c r="H275" s="29" t="s">
        <v>57</v>
      </c>
      <c r="I275" s="29" t="s">
        <v>52</v>
      </c>
      <c r="J275" s="29" t="s">
        <v>14</v>
      </c>
      <c r="K275" s="29" t="s">
        <v>15</v>
      </c>
      <c r="L275" s="29" t="s">
        <v>14</v>
      </c>
    </row>
    <row r="276" spans="1:12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</row>
    <row r="277" spans="1:12">
      <c r="A277" s="32">
        <v>1</v>
      </c>
      <c r="B277" s="13">
        <f>(VLOOKUP(E$10,'Aging Factor'!$A$145:$G$242,5,1)*(SQRT(A277+K$10-L$10)*Calibration!$B$49)-((0.32989795*(A277+K$10-L$10)-1.302)))</f>
        <v>7.4148665288883135</v>
      </c>
      <c r="C277" s="13">
        <f>A277*$B$50*(VLOOKUP(E$10,'Aging Factor'!$A$145:$G$242,5,1)*(G$10/L$10/12500)*('Degradation Model'!$B$26/F$10))</f>
        <v>2.6404705157875523</v>
      </c>
      <c r="D277" s="13">
        <f>C277</f>
        <v>2.6404705157875523</v>
      </c>
      <c r="E277" s="13">
        <f>((VLOOKUP(E$10,'Aging Factor'!$A$145:$H$242,8,1)-1)*F277*J$10/7)</f>
        <v>0</v>
      </c>
      <c r="F277" s="13">
        <f t="shared" ref="F277:F291" si="89">B277+D277</f>
        <v>10.055337044675866</v>
      </c>
      <c r="G277" s="13">
        <f t="shared" ref="G277:G291" si="90">F277+E277</f>
        <v>10.055337044675866</v>
      </c>
      <c r="H277" s="13">
        <f>G277</f>
        <v>10.055337044675866</v>
      </c>
      <c r="I277" s="13">
        <f t="shared" ref="I277:I291" si="91">IF(100-G277&lt;=5,5,100-G277)</f>
        <v>89.944662955324134</v>
      </c>
      <c r="J277" s="33">
        <f t="shared" ref="J277:J291" si="92">IF(281*I277/100&gt;0,281*I277/100,0)</f>
        <v>252.74450290446083</v>
      </c>
      <c r="K277" s="15">
        <f t="shared" ref="K277:K291" si="93">IF(L277/281*100&gt;0,L277/281*100,0)</f>
        <v>74.260362297634146</v>
      </c>
      <c r="L277" s="14">
        <f t="shared" ref="L277:L291" si="94">IF(I277*232/100&gt;0,I277*232/100,0)</f>
        <v>208.67161805635197</v>
      </c>
    </row>
    <row r="278" spans="1:12">
      <c r="A278" s="28">
        <f t="shared" ref="A278:A291" si="95">A277+1</f>
        <v>2</v>
      </c>
      <c r="B278" s="13">
        <f>(VLOOKUP(E$10,'Aging Factor'!$A$145:$G$242,5,1)*(SQRT(A278+K$10-L$10)*Calibration!$B$49)-((0.32989795*(A278+K$10-L$10)-1.302)))</f>
        <v>9.4414134202421227</v>
      </c>
      <c r="C278" s="13">
        <f>A278*$B$50*(VLOOKUP(E$10,'Aging Factor'!$A$145:$G$242,5,1)*(G$10/L$10/12500)*('Degradation Model'!$B$26/F$10))</f>
        <v>5.2809410315751046</v>
      </c>
      <c r="D278" s="13">
        <f>D277+(C277*100/I277)</f>
        <v>5.5761316534573711</v>
      </c>
      <c r="E278" s="13">
        <f>((VLOOKUP(E$10,'Aging Factor'!$A$145:$H$242,8,1)-1)*F278*J$10/7)</f>
        <v>0</v>
      </c>
      <c r="F278" s="13">
        <f t="shared" si="89"/>
        <v>15.017545073699495</v>
      </c>
      <c r="G278" s="13">
        <f t="shared" si="90"/>
        <v>15.017545073699495</v>
      </c>
      <c r="H278" s="13">
        <f t="shared" ref="H278:H291" si="96">G278-G277</f>
        <v>4.9622080290236283</v>
      </c>
      <c r="I278" s="13">
        <f t="shared" si="91"/>
        <v>84.982454926300505</v>
      </c>
      <c r="J278" s="14">
        <f t="shared" si="92"/>
        <v>238.80069834290444</v>
      </c>
      <c r="K278" s="15">
        <f t="shared" si="93"/>
        <v>70.163450330611099</v>
      </c>
      <c r="L278" s="14">
        <f t="shared" si="94"/>
        <v>197.15929542901719</v>
      </c>
    </row>
    <row r="279" spans="1:12">
      <c r="A279" s="28">
        <f t="shared" si="95"/>
        <v>3</v>
      </c>
      <c r="B279" s="13">
        <f>(VLOOKUP(E$10,'Aging Factor'!$A$145:$G$242,5,1)*(SQRT(A279+K$10-L$10)*Calibration!$B$49)-((0.32989795*(A279+K$10-L$10)-1.302)))</f>
        <v>10.961195050222479</v>
      </c>
      <c r="C279" s="13">
        <f>A279*$B$50*(VLOOKUP(E$10,'Aging Factor'!$A$145:$G$242,5,1)*(G$10/L$10/12500)*('Degradation Model'!$B$26/F$10))</f>
        <v>7.9214115473626574</v>
      </c>
      <c r="D279" s="13">
        <f>D278+(C277*100/I278)</f>
        <v>8.6832088943742782</v>
      </c>
      <c r="E279" s="13">
        <f>((VLOOKUP(E$10,'Aging Factor'!$A$145:$H$242,8,1)-1)*F279*J$10/7)</f>
        <v>0</v>
      </c>
      <c r="F279" s="13">
        <f t="shared" si="89"/>
        <v>19.644403944596757</v>
      </c>
      <c r="G279" s="13">
        <f t="shared" si="90"/>
        <v>19.644403944596757</v>
      </c>
      <c r="H279" s="13">
        <f t="shared" si="96"/>
        <v>4.6268588708972622</v>
      </c>
      <c r="I279" s="13">
        <f t="shared" si="91"/>
        <v>80.35559605540324</v>
      </c>
      <c r="J279" s="14">
        <f t="shared" si="92"/>
        <v>225.79922491568311</v>
      </c>
      <c r="K279" s="15">
        <f t="shared" si="93"/>
        <v>66.343410266382747</v>
      </c>
      <c r="L279" s="14">
        <f t="shared" si="94"/>
        <v>186.42498284853551</v>
      </c>
    </row>
    <row r="280" spans="1:12">
      <c r="A280" s="28">
        <f t="shared" si="95"/>
        <v>4</v>
      </c>
      <c r="B280" s="13">
        <f>(VLOOKUP(E$10,'Aging Factor'!$A$145:$G$242,5,1)*(SQRT(A280+K$10-L$10)*Calibration!$B$49)-((0.32989795*(A280+K$10-L$10)-1.302)))</f>
        <v>12.205418060549313</v>
      </c>
      <c r="C280" s="13">
        <f>A280*$B$50*(VLOOKUP(E$10,'Aging Factor'!$A$145:$G$242,5,1)*(G$10/L$10/12500)*('Degradation Model'!$B$26/F$10))</f>
        <v>10.561882063150209</v>
      </c>
      <c r="D280" s="13">
        <f>D279+(C277*100/I279)</f>
        <v>11.969191010625412</v>
      </c>
      <c r="E280" s="13">
        <f>((VLOOKUP(E$10,'Aging Factor'!$A$145:$H$242,8,1)-1)*F280*J$10/7)</f>
        <v>0</v>
      </c>
      <c r="F280" s="13">
        <f t="shared" si="89"/>
        <v>24.174609071174725</v>
      </c>
      <c r="G280" s="13">
        <f t="shared" si="90"/>
        <v>24.174609071174725</v>
      </c>
      <c r="H280" s="13">
        <f t="shared" si="96"/>
        <v>4.5302051265779681</v>
      </c>
      <c r="I280" s="13">
        <f t="shared" si="91"/>
        <v>75.825390928825271</v>
      </c>
      <c r="J280" s="14">
        <f t="shared" si="92"/>
        <v>213.069348509999</v>
      </c>
      <c r="K280" s="15">
        <f t="shared" si="93"/>
        <v>62.603169734830836</v>
      </c>
      <c r="L280" s="14">
        <f t="shared" si="94"/>
        <v>175.91490695487465</v>
      </c>
    </row>
    <row r="281" spans="1:12">
      <c r="A281" s="32">
        <f t="shared" si="95"/>
        <v>5</v>
      </c>
      <c r="B281" s="13">
        <f>(VLOOKUP(E$10,'Aging Factor'!$A$145:$G$242,5,1)*(SQRT(A281+K$10-L$10)*Calibration!$B$49)-((0.32989795*(A281+K$10-L$10)-1.302)))</f>
        <v>13.269593588053372</v>
      </c>
      <c r="C281" s="13">
        <f>A281*$B$50*(VLOOKUP(E$10,'Aging Factor'!$A$145:$G$242,5,1)*(G$10/L$10/12500)*('Degradation Model'!$B$26/F$10))</f>
        <v>13.202352578937761</v>
      </c>
      <c r="D281" s="13">
        <f>D280+(C277*100/I280)</f>
        <v>15.451494871433823</v>
      </c>
      <c r="E281" s="13">
        <f>((VLOOKUP(E$10,'Aging Factor'!$A$145:$H$242,8,1)-1)*F281*J$10/7)</f>
        <v>0</v>
      </c>
      <c r="F281" s="13">
        <f t="shared" si="89"/>
        <v>28.721088459487195</v>
      </c>
      <c r="G281" s="13">
        <f t="shared" si="90"/>
        <v>28.721088459487195</v>
      </c>
      <c r="H281" s="13">
        <f t="shared" si="96"/>
        <v>4.5464793883124699</v>
      </c>
      <c r="I281" s="13">
        <f t="shared" si="91"/>
        <v>71.278911540512809</v>
      </c>
      <c r="J281" s="33">
        <f t="shared" si="92"/>
        <v>200.29374142884097</v>
      </c>
      <c r="K281" s="15">
        <f t="shared" si="93"/>
        <v>58.849492802131579</v>
      </c>
      <c r="L281" s="14">
        <f t="shared" si="94"/>
        <v>165.36707477398974</v>
      </c>
    </row>
    <row r="282" spans="1:12">
      <c r="A282" s="28">
        <f t="shared" si="95"/>
        <v>6</v>
      </c>
      <c r="B282" s="13">
        <f>(VLOOKUP(E$10,'Aging Factor'!$A$145:$G$242,5,1)*(SQRT(A282+K$10-L$10)*Calibration!$B$49)-((0.32989795*(A282+K$10-L$10)-1.302)))</f>
        <v>14.2042194814533</v>
      </c>
      <c r="C282" s="13">
        <f>A282*$B$50*(VLOOKUP(E$10,'Aging Factor'!$A$145:$G$242,5,1)*(G$10/L$10/12500)*('Degradation Model'!$B$26/F$10))</f>
        <v>15.842823094725315</v>
      </c>
      <c r="D282" s="13">
        <f>D281+(C277*100/I281)</f>
        <v>19.155915237458615</v>
      </c>
      <c r="E282" s="13">
        <f>((VLOOKUP(E$10,'Aging Factor'!$A$145:$H$242,8,1)-1)*F282*J$10/7)</f>
        <v>0</v>
      </c>
      <c r="F282" s="13">
        <f t="shared" si="89"/>
        <v>33.360134718911915</v>
      </c>
      <c r="G282" s="13">
        <f t="shared" si="90"/>
        <v>33.360134718911915</v>
      </c>
      <c r="H282" s="13">
        <f t="shared" si="96"/>
        <v>4.6390462594247204</v>
      </c>
      <c r="I282" s="13">
        <f t="shared" si="91"/>
        <v>66.639865281088078</v>
      </c>
      <c r="J282" s="14">
        <f t="shared" si="92"/>
        <v>187.25802143985752</v>
      </c>
      <c r="K282" s="15">
        <f t="shared" si="93"/>
        <v>55.019390552357414</v>
      </c>
      <c r="L282" s="14">
        <f t="shared" si="94"/>
        <v>154.60448745212435</v>
      </c>
    </row>
    <row r="283" spans="1:12">
      <c r="A283" s="28">
        <f t="shared" si="95"/>
        <v>7</v>
      </c>
      <c r="B283" s="13">
        <f>(VLOOKUP(E$10,'Aging Factor'!$A$145:$G$242,5,1)*(SQRT(A283+K$10-L$10)*Calibration!$B$49)-((0.32989795*(A283+K$10-L$10)-1.302)))</f>
        <v>15.0398456325998</v>
      </c>
      <c r="C283" s="13">
        <f>A283*$B$50*(VLOOKUP(E$10,'Aging Factor'!$A$145:$G$242,5,1)*(G$10/L$10/12500)*('Degradation Model'!$B$26/F$10))</f>
        <v>18.483293610512867</v>
      </c>
      <c r="D283" s="13">
        <f>D282+(C277*100/I282)</f>
        <v>23.11821393756853</v>
      </c>
      <c r="E283" s="13">
        <f>((VLOOKUP(E$10,'Aging Factor'!$A$145:$H$242,8,1)-1)*F283*J$10/7)</f>
        <v>0</v>
      </c>
      <c r="F283" s="13">
        <f t="shared" si="89"/>
        <v>38.158059570168334</v>
      </c>
      <c r="G283" s="13">
        <f t="shared" si="90"/>
        <v>38.158059570168334</v>
      </c>
      <c r="H283" s="13">
        <f t="shared" si="96"/>
        <v>4.7979248512564183</v>
      </c>
      <c r="I283" s="13">
        <f t="shared" si="91"/>
        <v>61.841940429831666</v>
      </c>
      <c r="J283" s="14">
        <f t="shared" si="92"/>
        <v>173.77585260782701</v>
      </c>
      <c r="K283" s="15">
        <f t="shared" si="93"/>
        <v>51.058114518579892</v>
      </c>
      <c r="L283" s="14">
        <f t="shared" si="94"/>
        <v>143.47330179720947</v>
      </c>
    </row>
    <row r="284" spans="1:12">
      <c r="A284" s="28">
        <f t="shared" si="95"/>
        <v>8</v>
      </c>
      <c r="B284" s="13">
        <f>(VLOOKUP(E$10,'Aging Factor'!$A$145:$G$242,5,1)*(SQRT(A284+K$10-L$10)*Calibration!$B$49)-((0.32989795*(A284+K$10-L$10)-1.302)))</f>
        <v>15.7966223697121</v>
      </c>
      <c r="C284" s="13">
        <f>A284*$B$50*(VLOOKUP(E$10,'Aging Factor'!$A$145:$G$242,5,1)*(G$10/L$10/12500)*('Degradation Model'!$B$26/F$10))</f>
        <v>21.123764126300419</v>
      </c>
      <c r="D284" s="13">
        <f>D283+(C277*100/I283)</f>
        <v>27.387922322258586</v>
      </c>
      <c r="E284" s="13">
        <f>((VLOOKUP(E$10,'Aging Factor'!$A$145:$H$242,8,1)-1)*F284*J$10/7)</f>
        <v>0</v>
      </c>
      <c r="F284" s="13">
        <f t="shared" si="89"/>
        <v>43.184544691970686</v>
      </c>
      <c r="G284" s="13">
        <f t="shared" si="90"/>
        <v>43.184544691970686</v>
      </c>
      <c r="H284" s="13">
        <f t="shared" si="96"/>
        <v>5.0264851218023523</v>
      </c>
      <c r="I284" s="13">
        <f t="shared" si="91"/>
        <v>56.815455308029314</v>
      </c>
      <c r="J284" s="14">
        <f t="shared" si="92"/>
        <v>159.65142941556238</v>
      </c>
      <c r="K284" s="15">
        <f t="shared" si="93"/>
        <v>46.908133919796448</v>
      </c>
      <c r="L284" s="14">
        <f t="shared" si="94"/>
        <v>131.81185631462802</v>
      </c>
    </row>
    <row r="285" spans="1:12">
      <c r="A285" s="28">
        <f t="shared" si="95"/>
        <v>9</v>
      </c>
      <c r="B285" s="13">
        <f>(VLOOKUP(E$10,'Aging Factor'!$A$145:$G$242,5,1)*(SQRT(A285+K$10-L$10)*Calibration!$B$49)-((0.32989795*(A285+K$10-L$10)-1.302)))</f>
        <v>16.488670405538084</v>
      </c>
      <c r="C285" s="13">
        <f>A285*$B$50*(VLOOKUP(E$10,'Aging Factor'!$A$145:$G$242,5,1)*(G$10/L$10/12500)*('Degradation Model'!$B$26/F$10))</f>
        <v>23.76423464208797</v>
      </c>
      <c r="D285" s="13">
        <f>D284+(C277*100/I284)</f>
        <v>32.035373445323678</v>
      </c>
      <c r="E285" s="13">
        <f>((VLOOKUP(E$10,'Aging Factor'!$A$145:$H$242,8,1)-1)*F285*J$10/7)</f>
        <v>0</v>
      </c>
      <c r="F285" s="13">
        <f t="shared" si="89"/>
        <v>48.524043850861759</v>
      </c>
      <c r="G285" s="13">
        <f t="shared" si="90"/>
        <v>48.524043850861759</v>
      </c>
      <c r="H285" s="13">
        <f t="shared" si="96"/>
        <v>5.3394991588910727</v>
      </c>
      <c r="I285" s="13">
        <f t="shared" si="91"/>
        <v>51.475956149138241</v>
      </c>
      <c r="J285" s="14">
        <f t="shared" si="92"/>
        <v>144.64743677907845</v>
      </c>
      <c r="K285" s="15">
        <f t="shared" si="93"/>
        <v>42.499721802847233</v>
      </c>
      <c r="L285" s="14">
        <f t="shared" si="94"/>
        <v>119.42421826600072</v>
      </c>
    </row>
    <row r="286" spans="1:12">
      <c r="A286" s="32">
        <f t="shared" si="95"/>
        <v>10</v>
      </c>
      <c r="B286" s="13">
        <f>(VLOOKUP(E$10,'Aging Factor'!$A$145:$G$242,5,1)*(SQRT(A286+K$10-L$10)*Calibration!$B$49)-((0.32989795*(A286+K$10-L$10)-1.302)))</f>
        <v>17.126339963421451</v>
      </c>
      <c r="C286" s="13">
        <f>A286*$B$50*(VLOOKUP(E$10,'Aging Factor'!$A$145:$G$242,5,1)*(G$10/L$10/12500)*('Degradation Model'!$B$26/F$10))</f>
        <v>26.404705157875522</v>
      </c>
      <c r="D286" s="13">
        <f>D285+(C277*100/I285)</f>
        <v>37.16489548496773</v>
      </c>
      <c r="E286" s="13">
        <f>((VLOOKUP(E$10,'Aging Factor'!$A$145:$H$242,8,1)-1)*F286*J$10/7)</f>
        <v>0</v>
      </c>
      <c r="F286" s="13">
        <f t="shared" si="89"/>
        <v>54.29123544838918</v>
      </c>
      <c r="G286" s="13">
        <f t="shared" si="90"/>
        <v>54.29123544838918</v>
      </c>
      <c r="H286" s="13">
        <f t="shared" si="96"/>
        <v>5.7671915975274217</v>
      </c>
      <c r="I286" s="13">
        <f t="shared" si="91"/>
        <v>45.70876455161082</v>
      </c>
      <c r="J286" s="33">
        <f t="shared" si="92"/>
        <v>128.44162839002641</v>
      </c>
      <c r="K286" s="15">
        <f t="shared" si="93"/>
        <v>37.738197067522108</v>
      </c>
      <c r="L286" s="14">
        <f t="shared" si="94"/>
        <v>106.04433375973711</v>
      </c>
    </row>
    <row r="287" spans="1:12">
      <c r="A287" s="28">
        <f t="shared" si="95"/>
        <v>11</v>
      </c>
      <c r="B287" s="13">
        <f>(VLOOKUP(E$10,'Aging Factor'!$A$145:$G$242,5,1)*(SQRT(A287+K$10-L$10)*Calibration!$B$49)-((0.32989795*(A287+K$10-L$10)-1.302)))</f>
        <v>17.717485737173682</v>
      </c>
      <c r="C287" s="13">
        <f>A287*$B$50*(VLOOKUP(E$10,'Aging Factor'!$A$145:$G$242,5,1)*(G$10/L$10/12500)*('Degradation Model'!$B$26/F$10))</f>
        <v>29.045175673663074</v>
      </c>
      <c r="D287" s="13">
        <f>D286+(C277*100/I286)</f>
        <v>42.941622424953465</v>
      </c>
      <c r="E287" s="13">
        <f>((VLOOKUP(E$10,'Aging Factor'!$A$145:$H$242,8,1)-1)*F287*J$10/7)</f>
        <v>0</v>
      </c>
      <c r="F287" s="13">
        <f t="shared" si="89"/>
        <v>60.659108162127147</v>
      </c>
      <c r="G287" s="13">
        <f t="shared" si="90"/>
        <v>60.659108162127147</v>
      </c>
      <c r="H287" s="13">
        <f t="shared" si="96"/>
        <v>6.3678727137379667</v>
      </c>
      <c r="I287" s="13">
        <f t="shared" si="91"/>
        <v>39.340891837872853</v>
      </c>
      <c r="J287" s="14">
        <f t="shared" si="92"/>
        <v>110.54790606442272</v>
      </c>
      <c r="K287" s="15">
        <f t="shared" si="93"/>
        <v>32.480736321660146</v>
      </c>
      <c r="L287" s="14">
        <f t="shared" si="94"/>
        <v>91.270869063865007</v>
      </c>
    </row>
    <row r="288" spans="1:12">
      <c r="A288" s="28">
        <f t="shared" si="95"/>
        <v>12</v>
      </c>
      <c r="B288" s="13">
        <f>(VLOOKUP(E$10,'Aging Factor'!$A$145:$G$242,5,1)*(SQRT(A288+K$10-L$10)*Calibration!$B$49)-((0.32989795*(A288+K$10-L$10)-1.302)))</f>
        <v>18.268235906357869</v>
      </c>
      <c r="C288" s="13">
        <f>A288*$B$50*(VLOOKUP(E$10,'Aging Factor'!$A$145:$G$242,5,1)*(G$10/L$10/12500)*('Degradation Model'!$B$26/F$10))</f>
        <v>31.68564618945063</v>
      </c>
      <c r="D288" s="13">
        <f>D287+(C277*100/I287)</f>
        <v>49.653393288382681</v>
      </c>
      <c r="E288" s="13">
        <f>((VLOOKUP(E$10,'Aging Factor'!$A$145:$H$242,8,1)-1)*F288*J$10/7)</f>
        <v>0</v>
      </c>
      <c r="F288" s="13">
        <f t="shared" si="89"/>
        <v>67.921629194740547</v>
      </c>
      <c r="G288" s="13">
        <f t="shared" si="90"/>
        <v>67.921629194740547</v>
      </c>
      <c r="H288" s="13">
        <f t="shared" si="96"/>
        <v>7.2625210326133995</v>
      </c>
      <c r="I288" s="13">
        <f t="shared" si="91"/>
        <v>32.078370805259453</v>
      </c>
      <c r="J288" s="14">
        <f t="shared" si="92"/>
        <v>90.140221962779066</v>
      </c>
      <c r="K288" s="15">
        <f t="shared" si="93"/>
        <v>26.484633547402826</v>
      </c>
      <c r="L288" s="14">
        <f t="shared" si="94"/>
        <v>74.421820268201941</v>
      </c>
    </row>
    <row r="289" spans="1:12">
      <c r="A289" s="28">
        <f t="shared" si="95"/>
        <v>13</v>
      </c>
      <c r="B289" s="13">
        <f>(VLOOKUP(E$10,'Aging Factor'!$A$145:$G$242,5,1)*(SQRT(A289+K$10-L$10)*Calibration!$B$49)-((0.32989795*(A289+K$10-L$10)-1.302)))</f>
        <v>18.783480894334922</v>
      </c>
      <c r="C289" s="13">
        <f>A289*$B$50*(VLOOKUP(E$10,'Aging Factor'!$A$145:$G$242,5,1)*(G$10/L$10/12500)*('Degradation Model'!$B$26/F$10))</f>
        <v>34.326116705238178</v>
      </c>
      <c r="D289" s="13">
        <f>D288+(C277*100/I288)</f>
        <v>57.884704447597258</v>
      </c>
      <c r="E289" s="13">
        <f>((VLOOKUP(E$10,'Aging Factor'!$A$145:$H$242,8,1)-1)*F289*J$10/7)</f>
        <v>0</v>
      </c>
      <c r="F289" s="13">
        <f t="shared" si="89"/>
        <v>76.668185341932173</v>
      </c>
      <c r="G289" s="13">
        <f t="shared" si="90"/>
        <v>76.668185341932173</v>
      </c>
      <c r="H289" s="13">
        <f t="shared" si="96"/>
        <v>8.746556147191626</v>
      </c>
      <c r="I289" s="13">
        <f t="shared" si="91"/>
        <v>23.331814658067827</v>
      </c>
      <c r="J289" s="14">
        <f t="shared" si="92"/>
        <v>65.562399189170591</v>
      </c>
      <c r="K289" s="15">
        <f t="shared" si="93"/>
        <v>19.263277582461697</v>
      </c>
      <c r="L289" s="14">
        <f t="shared" si="94"/>
        <v>54.129810006717364</v>
      </c>
    </row>
    <row r="290" spans="1:12">
      <c r="A290" s="28">
        <f t="shared" si="95"/>
        <v>14</v>
      </c>
      <c r="B290" s="13">
        <f>(VLOOKUP(E$10,'Aging Factor'!$A$145:$G$242,5,1)*(SQRT(A290+K$10-L$10)*Calibration!$B$49)-((0.32989795*(A290+K$10-L$10)-1.302)))</f>
        <v>19.267197429535877</v>
      </c>
      <c r="C290" s="13">
        <f>A290*$B$50*(VLOOKUP(E$10,'Aging Factor'!$A$145:$G$242,5,1)*(G$10/L$10/12500)*('Degradation Model'!$B$26/F$10))</f>
        <v>36.966587221025733</v>
      </c>
      <c r="D290" s="13">
        <f>D289+(C277*100/I289)</f>
        <v>69.201743239839303</v>
      </c>
      <c r="E290" s="13">
        <f>((VLOOKUP(E$10,'Aging Factor'!$A$145:$H$242,8,1)-1)*F290*J$10/7)</f>
        <v>0</v>
      </c>
      <c r="F290" s="13">
        <f t="shared" si="89"/>
        <v>88.468940669375172</v>
      </c>
      <c r="G290" s="13">
        <f t="shared" si="90"/>
        <v>88.468940669375172</v>
      </c>
      <c r="H290" s="13">
        <f t="shared" si="96"/>
        <v>11.800755327442999</v>
      </c>
      <c r="I290" s="13">
        <f t="shared" si="91"/>
        <v>11.531059330624828</v>
      </c>
      <c r="J290" s="14">
        <f t="shared" si="92"/>
        <v>32.40227671905577</v>
      </c>
      <c r="K290" s="15">
        <f t="shared" si="93"/>
        <v>9.5203052124731684</v>
      </c>
      <c r="L290" s="14">
        <f t="shared" si="94"/>
        <v>26.7520576470496</v>
      </c>
    </row>
    <row r="291" spans="1:12">
      <c r="A291" s="28">
        <f t="shared" si="95"/>
        <v>15</v>
      </c>
      <c r="B291" s="13">
        <f>(VLOOKUP(E$10,'Aging Factor'!$A$145:$G$242,5,1)*(SQRT(A291+K$10-L$10)*Calibration!$B$49)-((0.32989795*(A291+K$10-L$10)-1.302)))</f>
        <v>19.722671053072229</v>
      </c>
      <c r="C291" s="13">
        <f>A291*$B$50*(VLOOKUP(E$10,'Aging Factor'!$A$145:$G$242,5,1)*(G$10/L$10/12500)*('Degradation Model'!$B$26/F$10))</f>
        <v>39.607057736813282</v>
      </c>
      <c r="D291" s="13">
        <f>D290+(C277*100/I290)</f>
        <v>92.100511168080246</v>
      </c>
      <c r="E291" s="13">
        <f>((VLOOKUP(E$10,'Aging Factor'!$A$145:$H$242,8,1)-1)*F291*J$10/7)</f>
        <v>0</v>
      </c>
      <c r="F291" s="13">
        <f t="shared" si="89"/>
        <v>111.82318222115248</v>
      </c>
      <c r="G291" s="13">
        <f t="shared" si="90"/>
        <v>111.82318222115248</v>
      </c>
      <c r="H291" s="13">
        <f t="shared" si="96"/>
        <v>23.354241551777307</v>
      </c>
      <c r="I291" s="13">
        <f t="shared" si="91"/>
        <v>5</v>
      </c>
      <c r="J291" s="14">
        <f t="shared" si="92"/>
        <v>14.05</v>
      </c>
      <c r="K291" s="15">
        <f t="shared" si="93"/>
        <v>4.1281138790035588</v>
      </c>
      <c r="L291" s="14">
        <f t="shared" si="94"/>
        <v>11.6</v>
      </c>
    </row>
    <row r="294" spans="1:12">
      <c r="A294" s="7" t="s">
        <v>143</v>
      </c>
    </row>
    <row r="296" spans="1:12">
      <c r="A296" s="29"/>
      <c r="B296" s="29" t="s">
        <v>54</v>
      </c>
      <c r="C296" s="29" t="s">
        <v>54</v>
      </c>
      <c r="D296" s="29" t="s">
        <v>2</v>
      </c>
      <c r="E296" s="29" t="s">
        <v>3</v>
      </c>
      <c r="F296" s="29" t="s">
        <v>4</v>
      </c>
      <c r="G296" s="29" t="s">
        <v>54</v>
      </c>
      <c r="H296" s="29" t="s">
        <v>55</v>
      </c>
      <c r="I296" s="29" t="s">
        <v>6</v>
      </c>
      <c r="J296" s="29" t="s">
        <v>7</v>
      </c>
      <c r="K296" s="29" t="s">
        <v>8</v>
      </c>
      <c r="L296" s="29" t="s">
        <v>8</v>
      </c>
    </row>
    <row r="297" spans="1:12">
      <c r="A297" s="29" t="s">
        <v>56</v>
      </c>
      <c r="B297" s="29" t="s">
        <v>9</v>
      </c>
      <c r="C297" s="29" t="s">
        <v>10</v>
      </c>
      <c r="D297" s="29" t="s">
        <v>10</v>
      </c>
      <c r="E297" s="29" t="s">
        <v>11</v>
      </c>
      <c r="F297" s="29" t="s">
        <v>10</v>
      </c>
      <c r="G297" s="29" t="s">
        <v>12</v>
      </c>
      <c r="H297" s="29" t="s">
        <v>57</v>
      </c>
      <c r="I297" s="29" t="s">
        <v>52</v>
      </c>
      <c r="J297" s="29" t="s">
        <v>14</v>
      </c>
      <c r="K297" s="29" t="s">
        <v>15</v>
      </c>
      <c r="L297" s="29" t="s">
        <v>14</v>
      </c>
    </row>
    <row r="298" spans="1:12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</row>
    <row r="299" spans="1:12">
      <c r="A299" s="32">
        <v>1</v>
      </c>
      <c r="B299" s="13">
        <f>(VLOOKUP(E$11,'Aging Factor'!$A$145:$G$242,5,1)*(SQRT(A299+K$11-L$11)*Calibration!$B$49)-((0.32989795*(A299+K$11-L$11)-1.302)))</f>
        <v>6.3850405044852625</v>
      </c>
      <c r="C299" s="13">
        <f>A299*$B$50*(VLOOKUP(E$11,'Aging Factor'!$A$145:$G$242,5,1)*(G$11/L$11/12500)*('Degradation Model'!$B$26/F$11))</f>
        <v>1.8345570904478099</v>
      </c>
      <c r="D299" s="13">
        <f>C299</f>
        <v>1.8345570904478099</v>
      </c>
      <c r="E299" s="13">
        <f>((VLOOKUP(E$11,'Aging Factor'!$A$145:$H$242,8,1)-1)*F299*J$11/7)</f>
        <v>0</v>
      </c>
      <c r="F299" s="13">
        <f t="shared" ref="F299:F313" si="97">B299+D299</f>
        <v>8.219597594933072</v>
      </c>
      <c r="G299" s="13">
        <f t="shared" ref="G299:G313" si="98">F299+E299</f>
        <v>8.219597594933072</v>
      </c>
      <c r="H299" s="13">
        <f>G299</f>
        <v>8.219597594933072</v>
      </c>
      <c r="I299" s="13">
        <f t="shared" ref="I299:I313" si="99">IF(100-G299&lt;=5,5,100-G299)</f>
        <v>91.780402405066923</v>
      </c>
      <c r="J299" s="33">
        <f t="shared" ref="J299:J313" si="100">IF(281*I299/100&gt;0,281*I299/100,0)</f>
        <v>257.90293075823803</v>
      </c>
      <c r="K299" s="15">
        <f t="shared" ref="K299:K313" si="101">IF(L299/281*100&gt;0,L299/281*100,0)</f>
        <v>75.775990597777664</v>
      </c>
      <c r="L299" s="14">
        <f t="shared" ref="L299:L313" si="102">IF(I299*232/100&gt;0,I299*232/100,0)</f>
        <v>212.93053357975523</v>
      </c>
    </row>
    <row r="300" spans="1:12">
      <c r="A300" s="28">
        <f t="shared" ref="A300:A313" si="103">A299+1</f>
        <v>2</v>
      </c>
      <c r="B300" s="13">
        <f>(VLOOKUP(E$11,'Aging Factor'!$A$145:$G$242,5,1)*(SQRT(A300+K$11-L$11)*Calibration!$B$49)-((0.32989795*(A300+K$11-L$11)-1.302)))</f>
        <v>7.9601216521020222</v>
      </c>
      <c r="C300" s="13">
        <f>A300*$B$50*(VLOOKUP(E$11,'Aging Factor'!$A$145:$G$242,5,1)*(G$11/L$11/12500)*('Degradation Model'!$B$26/F$11))</f>
        <v>3.6691141808956198</v>
      </c>
      <c r="D300" s="13">
        <f>D299+(C299*100/I299)</f>
        <v>3.8334120119495809</v>
      </c>
      <c r="E300" s="13">
        <f>((VLOOKUP(E$11,'Aging Factor'!$A$145:$H$242,8,1)-1)*F300*J$11/7)</f>
        <v>0</v>
      </c>
      <c r="F300" s="13">
        <f t="shared" si="97"/>
        <v>11.793533664051603</v>
      </c>
      <c r="G300" s="13">
        <f t="shared" si="98"/>
        <v>11.793533664051603</v>
      </c>
      <c r="H300" s="13">
        <f t="shared" ref="H300:H313" si="104">G300-G299</f>
        <v>3.5739360691185311</v>
      </c>
      <c r="I300" s="13">
        <f t="shared" si="99"/>
        <v>88.206466335948392</v>
      </c>
      <c r="J300" s="14">
        <f t="shared" si="100"/>
        <v>247.86017040401498</v>
      </c>
      <c r="K300" s="15">
        <f t="shared" si="101"/>
        <v>72.825267579857751</v>
      </c>
      <c r="L300" s="14">
        <f t="shared" si="102"/>
        <v>204.63900189940028</v>
      </c>
    </row>
    <row r="301" spans="1:12">
      <c r="A301" s="28">
        <f t="shared" si="103"/>
        <v>3</v>
      </c>
      <c r="B301" s="13">
        <f>(VLOOKUP(E$11,'Aging Factor'!$A$145:$G$242,5,1)*(SQRT(A301+K$11-L$11)*Calibration!$B$49)-((0.32989795*(A301+K$11-L$11)-1.302)))</f>
        <v>9.1363513603044595</v>
      </c>
      <c r="C301" s="13">
        <f>A301*$B$50*(VLOOKUP(E$11,'Aging Factor'!$A$145:$G$242,5,1)*(G$11/L$11/12500)*('Degradation Model'!$B$26/F$11))</f>
        <v>5.5036712713434301</v>
      </c>
      <c r="D301" s="13">
        <f>D300+(C299*100/I300)</f>
        <v>5.9132562304682175</v>
      </c>
      <c r="E301" s="13">
        <f>((VLOOKUP(E$11,'Aging Factor'!$A$145:$H$242,8,1)-1)*F301*J$11/7)</f>
        <v>0</v>
      </c>
      <c r="F301" s="13">
        <f t="shared" si="97"/>
        <v>15.049607590772677</v>
      </c>
      <c r="G301" s="13">
        <f t="shared" si="98"/>
        <v>15.049607590772677</v>
      </c>
      <c r="H301" s="13">
        <f t="shared" si="104"/>
        <v>3.2560739267210739</v>
      </c>
      <c r="I301" s="13">
        <f t="shared" si="99"/>
        <v>84.950392409227319</v>
      </c>
      <c r="J301" s="14">
        <f t="shared" si="100"/>
        <v>238.71060266992879</v>
      </c>
      <c r="K301" s="15">
        <f t="shared" si="101"/>
        <v>70.136978786265971</v>
      </c>
      <c r="L301" s="14">
        <f t="shared" si="102"/>
        <v>197.08491038940738</v>
      </c>
    </row>
    <row r="302" spans="1:12">
      <c r="A302" s="28">
        <f t="shared" si="103"/>
        <v>4</v>
      </c>
      <c r="B302" s="13">
        <f>(VLOOKUP(E$11,'Aging Factor'!$A$145:$G$242,5,1)*(SQRT(A302+K$11-L$11)*Calibration!$B$49)-((0.32989795*(A302+K$11-L$11)-1.302)))</f>
        <v>10.092239532021532</v>
      </c>
      <c r="C302" s="13">
        <f>A302*$B$50*(VLOOKUP(E$11,'Aging Factor'!$A$145:$G$242,5,1)*(G$11/L$11/12500)*('Degradation Model'!$B$26/F$11))</f>
        <v>7.3382283617912396</v>
      </c>
      <c r="D302" s="13">
        <f>D301+(C299*100/I301)</f>
        <v>8.0728190510968609</v>
      </c>
      <c r="E302" s="13">
        <f>((VLOOKUP(E$11,'Aging Factor'!$A$145:$H$242,8,1)-1)*F302*J$11/7)</f>
        <v>0</v>
      </c>
      <c r="F302" s="13">
        <f t="shared" si="97"/>
        <v>18.165058583118395</v>
      </c>
      <c r="G302" s="13">
        <f t="shared" si="98"/>
        <v>18.165058583118395</v>
      </c>
      <c r="H302" s="13">
        <f t="shared" si="104"/>
        <v>3.1154509923457177</v>
      </c>
      <c r="I302" s="13">
        <f t="shared" si="99"/>
        <v>81.834941416881605</v>
      </c>
      <c r="J302" s="14">
        <f t="shared" si="100"/>
        <v>229.95618538143731</v>
      </c>
      <c r="K302" s="15">
        <f t="shared" si="101"/>
        <v>67.564791490094407</v>
      </c>
      <c r="L302" s="14">
        <f t="shared" si="102"/>
        <v>189.8570640871653</v>
      </c>
    </row>
    <row r="303" spans="1:12">
      <c r="A303" s="32">
        <f t="shared" si="103"/>
        <v>5</v>
      </c>
      <c r="B303" s="13">
        <f>(VLOOKUP(E$11,'Aging Factor'!$A$145:$G$242,5,1)*(SQRT(A303+K$11-L$11)*Calibration!$B$49)-((0.32989795*(A303+K$11-L$11)-1.302)))</f>
        <v>10.903082114508361</v>
      </c>
      <c r="C303" s="13">
        <f>A303*$B$50*(VLOOKUP(E$11,'Aging Factor'!$A$145:$G$242,5,1)*(G$11/L$11/12500)*('Degradation Model'!$B$26/F$11))</f>
        <v>9.1727854522390491</v>
      </c>
      <c r="D303" s="13">
        <f>D302+(C299*100/I302)</f>
        <v>10.314596290359798</v>
      </c>
      <c r="E303" s="13">
        <f>((VLOOKUP(E$11,'Aging Factor'!$A$145:$H$242,8,1)-1)*F303*J$11/7)</f>
        <v>0</v>
      </c>
      <c r="F303" s="13">
        <f t="shared" si="97"/>
        <v>21.21767840486816</v>
      </c>
      <c r="G303" s="13">
        <f t="shared" si="98"/>
        <v>21.21767840486816</v>
      </c>
      <c r="H303" s="13">
        <f t="shared" si="104"/>
        <v>3.0526198217497651</v>
      </c>
      <c r="I303" s="13">
        <f t="shared" si="99"/>
        <v>78.782321595131833</v>
      </c>
      <c r="J303" s="33">
        <f t="shared" si="100"/>
        <v>221.37832368232046</v>
      </c>
      <c r="K303" s="15">
        <f t="shared" si="101"/>
        <v>65.044479039397103</v>
      </c>
      <c r="L303" s="14">
        <f t="shared" si="102"/>
        <v>182.77498610070586</v>
      </c>
    </row>
    <row r="304" spans="1:12">
      <c r="A304" s="28">
        <f t="shared" si="103"/>
        <v>6</v>
      </c>
      <c r="B304" s="13">
        <f>(VLOOKUP(E$11,'Aging Factor'!$A$145:$G$242,5,1)*(SQRT(A304+K$11-L$11)*Calibration!$B$49)-((0.32989795*(A304+K$11-L$11)-1.302)))</f>
        <v>11.609099694532986</v>
      </c>
      <c r="C304" s="13">
        <f>A304*$B$50*(VLOOKUP(E$11,'Aging Factor'!$A$145:$G$242,5,1)*(G$11/L$11/12500)*('Degradation Model'!$B$26/F$11))</f>
        <v>11.00734254268686</v>
      </c>
      <c r="D304" s="13">
        <f>D303+(C299*100/I303)</f>
        <v>12.643236844868632</v>
      </c>
      <c r="E304" s="13">
        <f>((VLOOKUP(E$11,'Aging Factor'!$A$145:$H$242,8,1)-1)*F304*J$11/7)</f>
        <v>0</v>
      </c>
      <c r="F304" s="13">
        <f t="shared" si="97"/>
        <v>24.252336539401618</v>
      </c>
      <c r="G304" s="13">
        <f t="shared" si="98"/>
        <v>24.252336539401618</v>
      </c>
      <c r="H304" s="13">
        <f t="shared" si="104"/>
        <v>3.0346581345334585</v>
      </c>
      <c r="I304" s="13">
        <f t="shared" si="99"/>
        <v>75.747663460598375</v>
      </c>
      <c r="J304" s="14">
        <f t="shared" si="100"/>
        <v>212.85093432428144</v>
      </c>
      <c r="K304" s="15">
        <f t="shared" si="101"/>
        <v>62.538996166757379</v>
      </c>
      <c r="L304" s="14">
        <f t="shared" si="102"/>
        <v>175.73457922858822</v>
      </c>
    </row>
    <row r="305" spans="1:12">
      <c r="A305" s="28">
        <f t="shared" si="103"/>
        <v>7</v>
      </c>
      <c r="B305" s="13">
        <f>(VLOOKUP(E$11,'Aging Factor'!$A$145:$G$242,5,1)*(SQRT(A305+K$11-L$11)*Calibration!$B$49)-((0.32989795*(A305+K$11-L$11)-1.302)))</f>
        <v>12.234777315489655</v>
      </c>
      <c r="C305" s="13">
        <f>A305*$B$50*(VLOOKUP(E$11,'Aging Factor'!$A$145:$G$242,5,1)*(G$11/L$11/12500)*('Degradation Model'!$B$26/F$11))</f>
        <v>12.84189963313467</v>
      </c>
      <c r="D305" s="13">
        <f>D304+(C299*100/I304)</f>
        <v>15.065169095494541</v>
      </c>
      <c r="E305" s="13">
        <f>((VLOOKUP(E$11,'Aging Factor'!$A$145:$H$242,8,1)-1)*F305*J$11/7)</f>
        <v>0</v>
      </c>
      <c r="F305" s="13">
        <f t="shared" si="97"/>
        <v>27.299946410984198</v>
      </c>
      <c r="G305" s="13">
        <f t="shared" si="98"/>
        <v>27.299946410984198</v>
      </c>
      <c r="H305" s="13">
        <f t="shared" si="104"/>
        <v>3.0476098715825799</v>
      </c>
      <c r="I305" s="13">
        <f t="shared" si="99"/>
        <v>72.700053589015795</v>
      </c>
      <c r="J305" s="14">
        <f t="shared" si="100"/>
        <v>204.28715058513436</v>
      </c>
      <c r="K305" s="15">
        <f t="shared" si="101"/>
        <v>60.022820045023714</v>
      </c>
      <c r="L305" s="14">
        <f t="shared" si="102"/>
        <v>168.66412432651666</v>
      </c>
    </row>
    <row r="306" spans="1:12">
      <c r="A306" s="28">
        <f t="shared" si="103"/>
        <v>8</v>
      </c>
      <c r="B306" s="13">
        <f>(VLOOKUP(E$11,'Aging Factor'!$A$145:$G$242,5,1)*(SQRT(A306+K$11-L$11)*Calibration!$B$49)-((0.32989795*(A306+K$11-L$11)-1.302)))</f>
        <v>12.796333695717113</v>
      </c>
      <c r="C306" s="13">
        <f>A306*$B$50*(VLOOKUP(E$11,'Aging Factor'!$A$145:$G$242,5,1)*(G$11/L$11/12500)*('Degradation Model'!$B$26/F$11))</f>
        <v>14.676456723582479</v>
      </c>
      <c r="D306" s="13">
        <f>D305+(C299*100/I305)</f>
        <v>17.588629533115171</v>
      </c>
      <c r="E306" s="13">
        <f>((VLOOKUP(E$11,'Aging Factor'!$A$145:$H$242,8,1)-1)*F306*J$11/7)</f>
        <v>0</v>
      </c>
      <c r="F306" s="13">
        <f t="shared" si="97"/>
        <v>30.384963228832284</v>
      </c>
      <c r="G306" s="13">
        <f t="shared" si="98"/>
        <v>30.384963228832284</v>
      </c>
      <c r="H306" s="13">
        <f t="shared" si="104"/>
        <v>3.0850168178480857</v>
      </c>
      <c r="I306" s="13">
        <f t="shared" si="99"/>
        <v>69.615036771167723</v>
      </c>
      <c r="J306" s="14">
        <f t="shared" si="100"/>
        <v>195.61825332698129</v>
      </c>
      <c r="K306" s="15">
        <f t="shared" si="101"/>
        <v>57.475759896480113</v>
      </c>
      <c r="L306" s="14">
        <f t="shared" si="102"/>
        <v>161.50688530910912</v>
      </c>
    </row>
    <row r="307" spans="1:12">
      <c r="A307" s="28">
        <f t="shared" si="103"/>
        <v>9</v>
      </c>
      <c r="B307" s="13">
        <f>(VLOOKUP(E$11,'Aging Factor'!$A$145:$G$242,5,1)*(SQRT(A307+K$11-L$11)*Calibration!$B$49)-((0.32989795*(A307+K$11-L$11)-1.302)))</f>
        <v>13.305169472858354</v>
      </c>
      <c r="C307" s="13">
        <f>A307*$B$50*(VLOOKUP(E$11,'Aging Factor'!$A$145:$G$242,5,1)*(G$11/L$11/12500)*('Degradation Model'!$B$26/F$11))</f>
        <v>16.511013814030289</v>
      </c>
      <c r="D307" s="13">
        <f>D306+(C299*100/I306)</f>
        <v>20.223918079292631</v>
      </c>
      <c r="E307" s="13">
        <f>((VLOOKUP(E$11,'Aging Factor'!$A$145:$H$242,8,1)-1)*F307*J$11/7)</f>
        <v>0</v>
      </c>
      <c r="F307" s="13">
        <f t="shared" si="97"/>
        <v>33.529087552150983</v>
      </c>
      <c r="G307" s="13">
        <f t="shared" si="98"/>
        <v>33.529087552150983</v>
      </c>
      <c r="H307" s="13">
        <f t="shared" si="104"/>
        <v>3.1441243233186995</v>
      </c>
      <c r="I307" s="13">
        <f t="shared" si="99"/>
        <v>66.470912447849017</v>
      </c>
      <c r="J307" s="14">
        <f t="shared" si="100"/>
        <v>186.78326397845572</v>
      </c>
      <c r="K307" s="15">
        <f t="shared" si="101"/>
        <v>54.879899245199191</v>
      </c>
      <c r="L307" s="14">
        <f t="shared" si="102"/>
        <v>154.21251687900974</v>
      </c>
    </row>
    <row r="308" spans="1:12">
      <c r="A308" s="32">
        <f t="shared" si="103"/>
        <v>10</v>
      </c>
      <c r="B308" s="13">
        <f>(VLOOKUP(E$11,'Aging Factor'!$A$145:$G$242,5,1)*(SQRT(A308+K$11-L$11)*Calibration!$B$49)-((0.32989795*(A308+K$11-L$11)-1.302)))</f>
        <v>13.769660709706155</v>
      </c>
      <c r="C308" s="13">
        <f>A308*$B$50*(VLOOKUP(E$11,'Aging Factor'!$A$145:$G$242,5,1)*(G$11/L$11/12500)*('Degradation Model'!$B$26/F$11))</f>
        <v>18.345570904478098</v>
      </c>
      <c r="D308" s="13">
        <f>D307+(C299*100/I307)</f>
        <v>22.98385776251444</v>
      </c>
      <c r="E308" s="13">
        <f>((VLOOKUP(E$11,'Aging Factor'!$A$145:$H$242,8,1)-1)*F308*J$11/7)</f>
        <v>0</v>
      </c>
      <c r="F308" s="13">
        <f t="shared" si="97"/>
        <v>36.753518472220591</v>
      </c>
      <c r="G308" s="13">
        <f t="shared" si="98"/>
        <v>36.753518472220591</v>
      </c>
      <c r="H308" s="13">
        <f t="shared" si="104"/>
        <v>3.224430920069608</v>
      </c>
      <c r="I308" s="13">
        <f t="shared" si="99"/>
        <v>63.246481527779409</v>
      </c>
      <c r="J308" s="33">
        <f t="shared" si="100"/>
        <v>177.72261309306015</v>
      </c>
      <c r="K308" s="15">
        <f t="shared" si="101"/>
        <v>52.217735638593673</v>
      </c>
      <c r="L308" s="14">
        <f t="shared" si="102"/>
        <v>146.73183714444824</v>
      </c>
    </row>
    <row r="309" spans="1:12">
      <c r="A309" s="28">
        <f t="shared" si="103"/>
        <v>11</v>
      </c>
      <c r="B309" s="13">
        <f>(VLOOKUP(E$11,'Aging Factor'!$A$145:$G$242,5,1)*(SQRT(A309+K$11-L$11)*Calibration!$B$49)-((0.32989795*(A309+K$11-L$11)-1.302)))</f>
        <v>14.19617566117655</v>
      </c>
      <c r="C309" s="13">
        <f>A309*$B$50*(VLOOKUP(E$11,'Aging Factor'!$A$145:$G$242,5,1)*(G$11/L$11/12500)*('Degradation Model'!$B$26/F$11))</f>
        <v>20.180127994925908</v>
      </c>
      <c r="D309" s="13">
        <f>D308+(C299*100/I308)</f>
        <v>25.884504638249382</v>
      </c>
      <c r="E309" s="13">
        <f>((VLOOKUP(E$11,'Aging Factor'!$A$145:$H$242,8,1)-1)*F309*J$11/7)</f>
        <v>0</v>
      </c>
      <c r="F309" s="13">
        <f t="shared" si="97"/>
        <v>40.080680299425936</v>
      </c>
      <c r="G309" s="13">
        <f t="shared" si="98"/>
        <v>40.080680299425936</v>
      </c>
      <c r="H309" s="13">
        <f t="shared" si="104"/>
        <v>3.3271618272053445</v>
      </c>
      <c r="I309" s="13">
        <f t="shared" si="99"/>
        <v>59.919319700574064</v>
      </c>
      <c r="J309" s="14">
        <f t="shared" si="100"/>
        <v>168.37328835861314</v>
      </c>
      <c r="K309" s="15">
        <f t="shared" si="101"/>
        <v>49.470755055278225</v>
      </c>
      <c r="L309" s="14">
        <f t="shared" si="102"/>
        <v>139.01282170533182</v>
      </c>
    </row>
    <row r="310" spans="1:12">
      <c r="A310" s="28">
        <f t="shared" si="103"/>
        <v>12</v>
      </c>
      <c r="B310" s="13">
        <f>(VLOOKUP(E$11,'Aging Factor'!$A$145:$G$242,5,1)*(SQRT(A310+K$11-L$11)*Calibration!$B$49)-((0.32989795*(A310+K$11-L$11)-1.302)))</f>
        <v>14.589690208020892</v>
      </c>
      <c r="C310" s="13">
        <f>A310*$B$50*(VLOOKUP(E$11,'Aging Factor'!$A$145:$G$242,5,1)*(G$11/L$11/12500)*('Degradation Model'!$B$26/F$11))</f>
        <v>22.014685085373721</v>
      </c>
      <c r="D310" s="13">
        <f>D309+(C299*100/I309)</f>
        <v>28.94621678654374</v>
      </c>
      <c r="E310" s="13">
        <f>((VLOOKUP(E$11,'Aging Factor'!$A$145:$H$242,8,1)-1)*F310*J$11/7)</f>
        <v>0</v>
      </c>
      <c r="F310" s="13">
        <f t="shared" si="97"/>
        <v>43.535906994564634</v>
      </c>
      <c r="G310" s="13">
        <f t="shared" si="98"/>
        <v>43.535906994564634</v>
      </c>
      <c r="H310" s="13">
        <f t="shared" si="104"/>
        <v>3.4552266951386983</v>
      </c>
      <c r="I310" s="13">
        <f t="shared" si="99"/>
        <v>56.464093005435366</v>
      </c>
      <c r="J310" s="14">
        <f t="shared" si="100"/>
        <v>158.66410134527337</v>
      </c>
      <c r="K310" s="15">
        <f t="shared" si="101"/>
        <v>46.6180412002171</v>
      </c>
      <c r="L310" s="14">
        <f t="shared" si="102"/>
        <v>130.99669577261005</v>
      </c>
    </row>
    <row r="311" spans="1:12">
      <c r="A311" s="28">
        <f t="shared" si="103"/>
        <v>13</v>
      </c>
      <c r="B311" s="13">
        <f>(VLOOKUP(E$11,'Aging Factor'!$A$145:$G$242,5,1)*(SQRT(A311+K$11-L$11)*Calibration!$B$49)-((0.32989795*(A311+K$11-L$11)-1.302)))</f>
        <v>14.954180101245813</v>
      </c>
      <c r="C311" s="13">
        <f>A311*$B$50*(VLOOKUP(E$11,'Aging Factor'!$A$145:$G$242,5,1)*(G$11/L$11/12500)*('Degradation Model'!$B$26/F$11))</f>
        <v>23.84924217582153</v>
      </c>
      <c r="D311" s="13">
        <f>D310+(C299*100/I310)</f>
        <v>32.195285341087263</v>
      </c>
      <c r="E311" s="13">
        <f>((VLOOKUP(E$11,'Aging Factor'!$A$145:$H$242,8,1)-1)*F311*J$11/7)</f>
        <v>0</v>
      </c>
      <c r="F311" s="13">
        <f t="shared" si="97"/>
        <v>47.149465442333074</v>
      </c>
      <c r="G311" s="13">
        <f t="shared" si="98"/>
        <v>47.149465442333074</v>
      </c>
      <c r="H311" s="13">
        <f t="shared" si="104"/>
        <v>3.6135584477684404</v>
      </c>
      <c r="I311" s="13">
        <f t="shared" si="99"/>
        <v>52.850534557666926</v>
      </c>
      <c r="J311" s="14">
        <f t="shared" si="100"/>
        <v>148.51000210704404</v>
      </c>
      <c r="K311" s="15">
        <f t="shared" si="101"/>
        <v>43.634605044052407</v>
      </c>
      <c r="L311" s="14">
        <f t="shared" si="102"/>
        <v>122.61324017378728</v>
      </c>
    </row>
    <row r="312" spans="1:12">
      <c r="A312" s="28">
        <f t="shared" si="103"/>
        <v>14</v>
      </c>
      <c r="B312" s="13">
        <f>(VLOOKUP(E$11,'Aging Factor'!$A$145:$G$242,5,1)*(SQRT(A312+K$11-L$11)*Calibration!$B$49)-((0.32989795*(A312+K$11-L$11)-1.302)))</f>
        <v>15.292881629277554</v>
      </c>
      <c r="C312" s="13">
        <f>A312*$B$50*(VLOOKUP(E$11,'Aging Factor'!$A$145:$G$242,5,1)*(G$11/L$11/12500)*('Degradation Model'!$B$26/F$11))</f>
        <v>25.68379926626934</v>
      </c>
      <c r="D312" s="13">
        <f>D311+(C299*100/I311)</f>
        <v>35.666503003883207</v>
      </c>
      <c r="E312" s="13">
        <f>((VLOOKUP(E$11,'Aging Factor'!$A$145:$H$242,8,1)-1)*F312*J$11/7)</f>
        <v>0</v>
      </c>
      <c r="F312" s="13">
        <f t="shared" si="97"/>
        <v>50.959384633160759</v>
      </c>
      <c r="G312" s="13">
        <f t="shared" si="98"/>
        <v>50.959384633160759</v>
      </c>
      <c r="H312" s="13">
        <f t="shared" si="104"/>
        <v>3.809919190827685</v>
      </c>
      <c r="I312" s="13">
        <f t="shared" si="99"/>
        <v>49.040615366839241</v>
      </c>
      <c r="J312" s="14">
        <f t="shared" si="100"/>
        <v>137.80412918081828</v>
      </c>
      <c r="K312" s="15">
        <f t="shared" si="101"/>
        <v>40.489048986144851</v>
      </c>
      <c r="L312" s="14">
        <f t="shared" si="102"/>
        <v>113.77422765106704</v>
      </c>
    </row>
    <row r="313" spans="1:12">
      <c r="A313" s="28">
        <f t="shared" si="103"/>
        <v>15</v>
      </c>
      <c r="B313" s="13">
        <f>(VLOOKUP(E$11,'Aging Factor'!$A$145:$G$242,5,1)*(SQRT(A313+K$11-L$11)*Calibration!$B$49)-((0.32989795*(A313+K$11-L$11)-1.302)))</f>
        <v>15.608470940879188</v>
      </c>
      <c r="C313" s="13">
        <f>A313*$B$50*(VLOOKUP(E$11,'Aging Factor'!$A$145:$G$242,5,1)*(G$11/L$11/12500)*('Degradation Model'!$B$26/F$11))</f>
        <v>27.518356356717149</v>
      </c>
      <c r="D313" s="13">
        <f>D312+(C299*100/I312)</f>
        <v>39.407396295545119</v>
      </c>
      <c r="E313" s="13">
        <f>((VLOOKUP(E$11,'Aging Factor'!$A$145:$H$242,8,1)-1)*F313*J$11/7)</f>
        <v>0</v>
      </c>
      <c r="F313" s="13">
        <f t="shared" si="97"/>
        <v>55.015867236424306</v>
      </c>
      <c r="G313" s="13">
        <f t="shared" si="98"/>
        <v>55.015867236424306</v>
      </c>
      <c r="H313" s="13">
        <f t="shared" si="104"/>
        <v>4.0564826032635466</v>
      </c>
      <c r="I313" s="13">
        <f t="shared" si="99"/>
        <v>44.984132763575694</v>
      </c>
      <c r="J313" s="14">
        <f t="shared" si="100"/>
        <v>126.40541306564769</v>
      </c>
      <c r="K313" s="15">
        <f t="shared" si="101"/>
        <v>37.139924559251106</v>
      </c>
      <c r="L313" s="14">
        <f t="shared" si="102"/>
        <v>104.36318801149561</v>
      </c>
    </row>
    <row r="316" spans="1:12">
      <c r="A316" s="7" t="s">
        <v>93</v>
      </c>
    </row>
    <row r="318" spans="1:12">
      <c r="A318" s="29"/>
      <c r="B318" s="29" t="s">
        <v>54</v>
      </c>
      <c r="C318" s="29" t="s">
        <v>54</v>
      </c>
      <c r="D318" s="29" t="s">
        <v>2</v>
      </c>
      <c r="E318" s="29" t="s">
        <v>3</v>
      </c>
      <c r="F318" s="29" t="s">
        <v>4</v>
      </c>
      <c r="G318" s="29" t="s">
        <v>54</v>
      </c>
      <c r="H318" s="29" t="s">
        <v>55</v>
      </c>
      <c r="I318" s="29" t="s">
        <v>6</v>
      </c>
      <c r="J318" s="29" t="s">
        <v>7</v>
      </c>
      <c r="K318" s="29" t="s">
        <v>8</v>
      </c>
      <c r="L318" s="29" t="s">
        <v>8</v>
      </c>
    </row>
    <row r="319" spans="1:12">
      <c r="A319" s="29" t="s">
        <v>56</v>
      </c>
      <c r="B319" s="29" t="s">
        <v>9</v>
      </c>
      <c r="C319" s="29" t="s">
        <v>10</v>
      </c>
      <c r="D319" s="29" t="s">
        <v>10</v>
      </c>
      <c r="E319" s="29" t="s">
        <v>11</v>
      </c>
      <c r="F319" s="29" t="s">
        <v>10</v>
      </c>
      <c r="G319" s="29" t="s">
        <v>12</v>
      </c>
      <c r="H319" s="29" t="s">
        <v>57</v>
      </c>
      <c r="I319" s="29" t="s">
        <v>52</v>
      </c>
      <c r="J319" s="29" t="s">
        <v>14</v>
      </c>
      <c r="K319" s="29" t="s">
        <v>15</v>
      </c>
      <c r="L319" s="29" t="s">
        <v>14</v>
      </c>
    </row>
    <row r="320" spans="1:12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</row>
    <row r="321" spans="1:12">
      <c r="A321" s="32">
        <v>1</v>
      </c>
      <c r="B321" s="13">
        <f>(VLOOKUP(E$12,'Aging Factor'!$A$145:$G$242,5,1)*(SQRT(A321+K$12-L$12)*Calibration!$B$49)-((0.32989795*(A321+K$12-L$12)-1.302)))</f>
        <v>7.5122095778760922</v>
      </c>
      <c r="C321" s="13">
        <f>A321*$B$50*(VLOOKUP(E$12,'Aging Factor'!$A$145:$G$242,5,1)*(G$12/L$12/12500)*('Degradation Model'!$B$26/F$12))</f>
        <v>0.46708827558515975</v>
      </c>
      <c r="D321" s="13">
        <f>C321</f>
        <v>0.46708827558515975</v>
      </c>
      <c r="E321" s="13">
        <f>((VLOOKUP(E$12,'Aging Factor'!$A$145:$H$242,8,1)-1)*F321*J$12/7)</f>
        <v>0</v>
      </c>
      <c r="F321" s="13">
        <f t="shared" ref="F321:F335" si="105">B321+D321</f>
        <v>7.9792978534612518</v>
      </c>
      <c r="G321" s="13">
        <f t="shared" ref="G321:G335" si="106">F321+E321</f>
        <v>7.9792978534612518</v>
      </c>
      <c r="H321" s="13">
        <f>G321</f>
        <v>7.9792978534612518</v>
      </c>
      <c r="I321" s="13">
        <f t="shared" ref="I321:I335" si="107">IF(100-G321&lt;=5,5,100-G321)</f>
        <v>92.020702146538753</v>
      </c>
      <c r="J321" s="33">
        <f t="shared" ref="J321:J335" si="108">IF(281*I321/100&gt;0,281*I321/100,0)</f>
        <v>258.57817303177393</v>
      </c>
      <c r="K321" s="15">
        <f t="shared" ref="K321:K335" si="109">IF(L321/281*100&gt;0,L321/281*100,0)</f>
        <v>75.974387537355838</v>
      </c>
      <c r="L321" s="14">
        <f t="shared" ref="L321:L335" si="110">IF(I321*232/100&gt;0,I321*232/100,0)</f>
        <v>213.4880289799699</v>
      </c>
    </row>
    <row r="322" spans="1:12">
      <c r="A322" s="28">
        <f t="shared" ref="A322:A335" si="111">A321+1</f>
        <v>2</v>
      </c>
      <c r="B322" s="13">
        <f>(VLOOKUP(E$12,'Aging Factor'!$A$145:$G$242,5,1)*(SQRT(A322+K$12-L$12)*Calibration!$B$49)-((0.32989795*(A322+K$12-L$12)-1.302)))</f>
        <v>9.5605234076516439</v>
      </c>
      <c r="C322" s="13">
        <f>A322*$B$50*(VLOOKUP(E$12,'Aging Factor'!$A$145:$G$242,5,1)*(G$12/L$12/12500)*('Degradation Model'!$B$26/F$12))</f>
        <v>0.9341765511703195</v>
      </c>
      <c r="D322" s="13">
        <f>D321+(C321*100/I321)</f>
        <v>0.97467870327103323</v>
      </c>
      <c r="E322" s="13">
        <f>((VLOOKUP(E$12,'Aging Factor'!$A$145:$H$242,8,1)-1)*F322*J$12/7)</f>
        <v>0</v>
      </c>
      <c r="F322" s="13">
        <f t="shared" si="105"/>
        <v>10.535202110922677</v>
      </c>
      <c r="G322" s="13">
        <f t="shared" si="106"/>
        <v>10.535202110922677</v>
      </c>
      <c r="H322" s="13">
        <f t="shared" ref="H322:H335" si="112">G322-G321</f>
        <v>2.5559042574614255</v>
      </c>
      <c r="I322" s="13">
        <f t="shared" si="107"/>
        <v>89.464797889077317</v>
      </c>
      <c r="J322" s="14">
        <f t="shared" si="108"/>
        <v>251.39608206830727</v>
      </c>
      <c r="K322" s="15">
        <f t="shared" si="109"/>
        <v>73.86417476962967</v>
      </c>
      <c r="L322" s="14">
        <f t="shared" si="110"/>
        <v>207.55833110265937</v>
      </c>
    </row>
    <row r="323" spans="1:12">
      <c r="A323" s="28">
        <f t="shared" si="111"/>
        <v>3</v>
      </c>
      <c r="B323" s="13">
        <f>(VLOOKUP(E$12,'Aging Factor'!$A$145:$G$242,5,1)*(SQRT(A323+K$12-L$12)*Calibration!$B$49)-((0.32989795*(A323+K$12-L$12)-1.302)))</f>
        <v>11.099278987018105</v>
      </c>
      <c r="C323" s="13">
        <f>A323*$B$50*(VLOOKUP(E$12,'Aging Factor'!$A$145:$G$242,5,1)*(G$12/L$12/12500)*('Degradation Model'!$B$26/F$12))</f>
        <v>1.4012648267554793</v>
      </c>
      <c r="D323" s="13">
        <f>D322+(C321*100/I322)</f>
        <v>1.4967703936410017</v>
      </c>
      <c r="E323" s="13">
        <f>((VLOOKUP(E$12,'Aging Factor'!$A$145:$H$242,8,1)-1)*F323*J$12/7)</f>
        <v>0</v>
      </c>
      <c r="F323" s="13">
        <f t="shared" si="105"/>
        <v>12.596049380659107</v>
      </c>
      <c r="G323" s="13">
        <f t="shared" si="106"/>
        <v>12.596049380659107</v>
      </c>
      <c r="H323" s="13">
        <f t="shared" si="112"/>
        <v>2.0608472697364295</v>
      </c>
      <c r="I323" s="13">
        <f t="shared" si="107"/>
        <v>87.40395061934089</v>
      </c>
      <c r="J323" s="14">
        <f t="shared" si="108"/>
        <v>245.60510124034789</v>
      </c>
      <c r="K323" s="15">
        <f t="shared" si="109"/>
        <v>72.162692326288564</v>
      </c>
      <c r="L323" s="14">
        <f t="shared" si="110"/>
        <v>202.77716543687086</v>
      </c>
    </row>
    <row r="324" spans="1:12">
      <c r="A324" s="28">
        <f t="shared" si="111"/>
        <v>4</v>
      </c>
      <c r="B324" s="13">
        <f>(VLOOKUP(E$12,'Aging Factor'!$A$145:$G$242,5,1)*(SQRT(A324+K$12-L$12)*Calibration!$B$49)-((0.32989795*(A324+K$12-L$12)-1.302)))</f>
        <v>12.360343120250228</v>
      </c>
      <c r="C324" s="13">
        <f>A324*$B$50*(VLOOKUP(E$12,'Aging Factor'!$A$145:$G$242,5,1)*(G$12/L$12/12500)*('Degradation Model'!$B$26/F$12))</f>
        <v>1.868353102340639</v>
      </c>
      <c r="D324" s="13">
        <f>D323+(C321*100/I323)</f>
        <v>2.0311721824336031</v>
      </c>
      <c r="E324" s="13">
        <f>((VLOOKUP(E$12,'Aging Factor'!$A$145:$H$242,8,1)-1)*F324*J$12/7)</f>
        <v>0</v>
      </c>
      <c r="F324" s="13">
        <f t="shared" si="105"/>
        <v>14.391515302683832</v>
      </c>
      <c r="G324" s="13">
        <f t="shared" si="106"/>
        <v>14.391515302683832</v>
      </c>
      <c r="H324" s="13">
        <f t="shared" si="112"/>
        <v>1.7954659220247251</v>
      </c>
      <c r="I324" s="13">
        <f t="shared" si="107"/>
        <v>85.608484697316172</v>
      </c>
      <c r="J324" s="14">
        <f t="shared" si="108"/>
        <v>240.55984199945843</v>
      </c>
      <c r="K324" s="15">
        <f t="shared" si="109"/>
        <v>70.680314767890934</v>
      </c>
      <c r="L324" s="14">
        <f t="shared" si="110"/>
        <v>198.61168449777352</v>
      </c>
    </row>
    <row r="325" spans="1:12">
      <c r="A325" s="32">
        <f t="shared" si="111"/>
        <v>5</v>
      </c>
      <c r="B325" s="13">
        <f>(VLOOKUP(E$12,'Aging Factor'!$A$145:$G$242,5,1)*(SQRT(A325+K$12-L$12)*Calibration!$B$49)-((0.32989795*(A325+K$12-L$12)-1.302)))</f>
        <v>13.439778849219124</v>
      </c>
      <c r="C325" s="13">
        <f>A325*$B$50*(VLOOKUP(E$12,'Aging Factor'!$A$145:$G$242,5,1)*(G$12/L$12/12500)*('Degradation Model'!$B$26/F$12))</f>
        <v>2.3354413779257985</v>
      </c>
      <c r="D325" s="13">
        <f>D324+(C321*100/I324)</f>
        <v>2.5767819747767713</v>
      </c>
      <c r="E325" s="13">
        <f>((VLOOKUP(E$12,'Aging Factor'!$A$145:$H$242,8,1)-1)*F325*J$12/7)</f>
        <v>0</v>
      </c>
      <c r="F325" s="13">
        <f t="shared" si="105"/>
        <v>16.016560823995896</v>
      </c>
      <c r="G325" s="13">
        <f t="shared" si="106"/>
        <v>16.016560823995896</v>
      </c>
      <c r="H325" s="13">
        <f t="shared" si="112"/>
        <v>1.6250455213120638</v>
      </c>
      <c r="I325" s="13">
        <f t="shared" si="107"/>
        <v>83.983439176004111</v>
      </c>
      <c r="J325" s="33">
        <f t="shared" si="108"/>
        <v>235.99346408457157</v>
      </c>
      <c r="K325" s="15">
        <f t="shared" si="109"/>
        <v>69.33864017378275</v>
      </c>
      <c r="L325" s="14">
        <f t="shared" si="110"/>
        <v>194.84157888832954</v>
      </c>
    </row>
    <row r="326" spans="1:12">
      <c r="A326" s="28">
        <f t="shared" si="111"/>
        <v>6</v>
      </c>
      <c r="B326" s="13">
        <f>(VLOOKUP(E$12,'Aging Factor'!$A$145:$G$242,5,1)*(SQRT(A326+K$12-L$12)*Calibration!$B$49)-((0.32989795*(A326+K$12-L$12)-1.302)))</f>
        <v>14.388448034432667</v>
      </c>
      <c r="C326" s="13">
        <f>A326*$B$50*(VLOOKUP(E$12,'Aging Factor'!$A$145:$G$242,5,1)*(G$12/L$12/12500)*('Degradation Model'!$B$26/F$12))</f>
        <v>2.8025296535109585</v>
      </c>
      <c r="D326" s="13">
        <f>D325+(C321*100/I325)</f>
        <v>3.1329490955424295</v>
      </c>
      <c r="E326" s="13">
        <f>((VLOOKUP(E$12,'Aging Factor'!$A$145:$H$242,8,1)-1)*F326*J$12/7)</f>
        <v>0</v>
      </c>
      <c r="F326" s="13">
        <f t="shared" si="105"/>
        <v>17.521397129975096</v>
      </c>
      <c r="G326" s="13">
        <f t="shared" si="106"/>
        <v>17.521397129975096</v>
      </c>
      <c r="H326" s="13">
        <f t="shared" si="112"/>
        <v>1.5048363059792003</v>
      </c>
      <c r="I326" s="13">
        <f t="shared" si="107"/>
        <v>82.478602870024901</v>
      </c>
      <c r="J326" s="14">
        <f t="shared" si="108"/>
        <v>231.76487406476997</v>
      </c>
      <c r="K326" s="15">
        <f t="shared" si="109"/>
        <v>68.096213045714507</v>
      </c>
      <c r="L326" s="14">
        <f t="shared" si="110"/>
        <v>191.35035865845776</v>
      </c>
    </row>
    <row r="327" spans="1:12">
      <c r="A327" s="28">
        <f t="shared" si="111"/>
        <v>7</v>
      </c>
      <c r="B327" s="13">
        <f>(VLOOKUP(E$12,'Aging Factor'!$A$145:$G$242,5,1)*(SQRT(A327+K$12-L$12)*Calibration!$B$49)-((0.32989795*(A327+K$12-L$12)-1.302)))</f>
        <v>15.237147330785692</v>
      </c>
      <c r="C327" s="13">
        <f>A327*$B$50*(VLOOKUP(E$12,'Aging Factor'!$A$145:$G$242,5,1)*(G$12/L$12/12500)*('Degradation Model'!$B$26/F$12))</f>
        <v>3.2696179290961185</v>
      </c>
      <c r="D327" s="13">
        <f>D326+(C321*100/I326)</f>
        <v>3.6992635811566288</v>
      </c>
      <c r="E327" s="13">
        <f>((VLOOKUP(E$12,'Aging Factor'!$A$145:$H$242,8,1)-1)*F327*J$12/7)</f>
        <v>0</v>
      </c>
      <c r="F327" s="13">
        <f t="shared" si="105"/>
        <v>18.936410911942321</v>
      </c>
      <c r="G327" s="13">
        <f t="shared" si="106"/>
        <v>18.936410911942321</v>
      </c>
      <c r="H327" s="13">
        <f t="shared" si="112"/>
        <v>1.4150137819672253</v>
      </c>
      <c r="I327" s="13">
        <f t="shared" si="107"/>
        <v>81.063589088057682</v>
      </c>
      <c r="J327" s="14">
        <f t="shared" si="108"/>
        <v>227.78868533744208</v>
      </c>
      <c r="K327" s="15">
        <f t="shared" si="109"/>
        <v>66.927945439250465</v>
      </c>
      <c r="L327" s="14">
        <f t="shared" si="110"/>
        <v>188.0675266842938</v>
      </c>
    </row>
    <row r="328" spans="1:12">
      <c r="A328" s="28">
        <f t="shared" si="111"/>
        <v>8</v>
      </c>
      <c r="B328" s="13">
        <f>(VLOOKUP(E$12,'Aging Factor'!$A$145:$G$242,5,1)*(SQRT(A328+K$12-L$12)*Calibration!$B$49)-((0.32989795*(A328+K$12-L$12)-1.302)))</f>
        <v>16.006201695231574</v>
      </c>
      <c r="C328" s="13">
        <f>A328*$B$50*(VLOOKUP(E$12,'Aging Factor'!$A$145:$G$242,5,1)*(G$12/L$12/12500)*('Degradation Model'!$B$26/F$12))</f>
        <v>3.736706204681278</v>
      </c>
      <c r="D328" s="13">
        <f>D327+(C321*100/I327)</f>
        <v>4.2754634272771499</v>
      </c>
      <c r="E328" s="13">
        <f>((VLOOKUP(E$12,'Aging Factor'!$A$145:$H$242,8,1)-1)*F328*J$12/7)</f>
        <v>0</v>
      </c>
      <c r="F328" s="13">
        <f t="shared" si="105"/>
        <v>20.281665122508723</v>
      </c>
      <c r="G328" s="13">
        <f t="shared" si="106"/>
        <v>20.281665122508723</v>
      </c>
      <c r="H328" s="13">
        <f t="shared" si="112"/>
        <v>1.3452542105664023</v>
      </c>
      <c r="I328" s="13">
        <f t="shared" si="107"/>
        <v>79.718334877491273</v>
      </c>
      <c r="J328" s="14">
        <f t="shared" si="108"/>
        <v>224.00852100575048</v>
      </c>
      <c r="K328" s="15">
        <f t="shared" si="109"/>
        <v>65.817272923765046</v>
      </c>
      <c r="L328" s="14">
        <f t="shared" si="110"/>
        <v>184.94653691577977</v>
      </c>
    </row>
    <row r="329" spans="1:12">
      <c r="A329" s="28">
        <f t="shared" si="111"/>
        <v>9</v>
      </c>
      <c r="B329" s="13">
        <f>(VLOOKUP(E$12,'Aging Factor'!$A$145:$G$242,5,1)*(SQRT(A329+K$12-L$12)*Calibration!$B$49)-((0.32989795*(A329+K$12-L$12)-1.302)))</f>
        <v>16.709860246387294</v>
      </c>
      <c r="C329" s="13">
        <f>A329*$B$50*(VLOOKUP(E$12,'Aging Factor'!$A$145:$G$242,5,1)*(G$12/L$12/12500)*('Degradation Model'!$B$26/F$12))</f>
        <v>4.2037944802664375</v>
      </c>
      <c r="D329" s="13">
        <f>D328+(C321*100/I328)</f>
        <v>4.8613866986336918</v>
      </c>
      <c r="E329" s="13">
        <f>((VLOOKUP(E$12,'Aging Factor'!$A$145:$H$242,8,1)-1)*F329*J$12/7)</f>
        <v>0</v>
      </c>
      <c r="F329" s="13">
        <f t="shared" si="105"/>
        <v>21.571246945020984</v>
      </c>
      <c r="G329" s="13">
        <f t="shared" si="106"/>
        <v>21.571246945020984</v>
      </c>
      <c r="H329" s="13">
        <f t="shared" si="112"/>
        <v>1.2895818225122611</v>
      </c>
      <c r="I329" s="13">
        <f t="shared" si="107"/>
        <v>78.428753054979012</v>
      </c>
      <c r="J329" s="14">
        <f t="shared" si="108"/>
        <v>220.38479608449103</v>
      </c>
      <c r="K329" s="15">
        <f t="shared" si="109"/>
        <v>64.752564799840329</v>
      </c>
      <c r="L329" s="14">
        <f t="shared" si="110"/>
        <v>181.95470708755133</v>
      </c>
    </row>
    <row r="330" spans="1:12">
      <c r="A330" s="32">
        <f t="shared" si="111"/>
        <v>10</v>
      </c>
      <c r="B330" s="13">
        <f>(VLOOKUP(E$12,'Aging Factor'!$A$145:$G$242,5,1)*(SQRT(A330+K$12-L$12)*Calibration!$B$49)-((0.32989795*(A330+K$12-L$12)-1.302)))</f>
        <v>17.358570686880959</v>
      </c>
      <c r="C330" s="13">
        <f>A330*$B$50*(VLOOKUP(E$12,'Aging Factor'!$A$145:$G$242,5,1)*(G$12/L$12/12500)*('Degradation Model'!$B$26/F$12))</f>
        <v>4.6708827558515971</v>
      </c>
      <c r="D330" s="13">
        <f>D329+(C321*100/I329)</f>
        <v>5.4569441407591945</v>
      </c>
      <c r="E330" s="13">
        <f>((VLOOKUP(E$12,'Aging Factor'!$A$145:$H$242,8,1)-1)*F330*J$12/7)</f>
        <v>0</v>
      </c>
      <c r="F330" s="13">
        <f t="shared" si="105"/>
        <v>22.815514827640154</v>
      </c>
      <c r="G330" s="13">
        <f t="shared" si="106"/>
        <v>22.815514827640154</v>
      </c>
      <c r="H330" s="13">
        <f t="shared" si="112"/>
        <v>1.2442678826191695</v>
      </c>
      <c r="I330" s="13">
        <f t="shared" si="107"/>
        <v>77.184485172359842</v>
      </c>
      <c r="J330" s="33">
        <f t="shared" si="108"/>
        <v>216.88840333433117</v>
      </c>
      <c r="K330" s="15">
        <f t="shared" si="109"/>
        <v>63.725268896752617</v>
      </c>
      <c r="L330" s="14">
        <f t="shared" si="110"/>
        <v>179.06800559987485</v>
      </c>
    </row>
    <row r="331" spans="1:12">
      <c r="A331" s="28">
        <f t="shared" si="111"/>
        <v>11</v>
      </c>
      <c r="B331" s="13">
        <f>(VLOOKUP(E$12,'Aging Factor'!$A$145:$G$242,5,1)*(SQRT(A331+K$12-L$12)*Calibration!$B$49)-((0.32989795*(A331+K$12-L$12)-1.302)))</f>
        <v>17.960263692709816</v>
      </c>
      <c r="C331" s="13">
        <f>A331*$B$50*(VLOOKUP(E$12,'Aging Factor'!$A$145:$G$242,5,1)*(G$12/L$12/12500)*('Degradation Model'!$B$26/F$12))</f>
        <v>5.1379710314367575</v>
      </c>
      <c r="D331" s="13">
        <f>D330+(C321*100/I330)</f>
        <v>6.062102385375467</v>
      </c>
      <c r="E331" s="13">
        <f>((VLOOKUP(E$12,'Aging Factor'!$A$145:$H$242,8,1)-1)*F331*J$12/7)</f>
        <v>0</v>
      </c>
      <c r="F331" s="13">
        <f t="shared" si="105"/>
        <v>24.022366078085284</v>
      </c>
      <c r="G331" s="13">
        <f t="shared" si="106"/>
        <v>24.022366078085284</v>
      </c>
      <c r="H331" s="13">
        <f t="shared" si="112"/>
        <v>1.2068512504451299</v>
      </c>
      <c r="I331" s="13">
        <f t="shared" si="107"/>
        <v>75.977633921914716</v>
      </c>
      <c r="J331" s="14">
        <f t="shared" si="108"/>
        <v>213.49715132058034</v>
      </c>
      <c r="K331" s="15">
        <f t="shared" si="109"/>
        <v>62.728865017381551</v>
      </c>
      <c r="L331" s="14">
        <f t="shared" si="110"/>
        <v>176.26811069884215</v>
      </c>
    </row>
    <row r="332" spans="1:12">
      <c r="A332" s="28">
        <f t="shared" si="111"/>
        <v>12</v>
      </c>
      <c r="B332" s="13">
        <f>(VLOOKUP(E$12,'Aging Factor'!$A$145:$G$242,5,1)*(SQRT(A332+K$12-L$12)*Calibration!$B$49)-((0.32989795*(A332+K$12-L$12)-1.302)))</f>
        <v>18.521127988552148</v>
      </c>
      <c r="C332" s="13">
        <f>A332*$B$50*(VLOOKUP(E$12,'Aging Factor'!$A$145:$G$242,5,1)*(G$12/L$12/12500)*('Degradation Model'!$B$26/F$12))</f>
        <v>5.605059307021917</v>
      </c>
      <c r="D332" s="13">
        <f>D331+(C321*100/I331)</f>
        <v>6.6768731428660271</v>
      </c>
      <c r="E332" s="13">
        <f>((VLOOKUP(E$12,'Aging Factor'!$A$145:$H$242,8,1)-1)*F332*J$12/7)</f>
        <v>0</v>
      </c>
      <c r="F332" s="13">
        <f t="shared" si="105"/>
        <v>25.198001131418174</v>
      </c>
      <c r="G332" s="13">
        <f t="shared" si="106"/>
        <v>25.198001131418174</v>
      </c>
      <c r="H332" s="13">
        <f t="shared" si="112"/>
        <v>1.1756350533328899</v>
      </c>
      <c r="I332" s="13">
        <f t="shared" si="107"/>
        <v>74.801998868581819</v>
      </c>
      <c r="J332" s="14">
        <f t="shared" si="108"/>
        <v>210.19361682071494</v>
      </c>
      <c r="K332" s="15">
        <f t="shared" si="109"/>
        <v>61.758233941320228</v>
      </c>
      <c r="L332" s="14">
        <f t="shared" si="110"/>
        <v>173.54063737510984</v>
      </c>
    </row>
    <row r="333" spans="1:12">
      <c r="A333" s="28">
        <f t="shared" si="111"/>
        <v>13</v>
      </c>
      <c r="B333" s="13">
        <f>(VLOOKUP(E$12,'Aging Factor'!$A$145:$G$242,5,1)*(SQRT(A333+K$12-L$12)*Calibration!$B$49)-((0.32989795*(A333+K$12-L$12)-1.302)))</f>
        <v>19.046103146584226</v>
      </c>
      <c r="C333" s="13">
        <f>A333*$B$50*(VLOOKUP(E$12,'Aging Factor'!$A$145:$G$242,5,1)*(G$12/L$12/12500)*('Degradation Model'!$B$26/F$12))</f>
        <v>6.0721475826070765</v>
      </c>
      <c r="D333" s="13">
        <f>D332+(C321*100/I332)</f>
        <v>7.3013060225351625</v>
      </c>
      <c r="E333" s="13">
        <f>((VLOOKUP(E$12,'Aging Factor'!$A$145:$H$242,8,1)-1)*F333*J$12/7)</f>
        <v>0</v>
      </c>
      <c r="F333" s="13">
        <f t="shared" si="105"/>
        <v>26.347409169119388</v>
      </c>
      <c r="G333" s="13">
        <f t="shared" si="106"/>
        <v>26.347409169119388</v>
      </c>
      <c r="H333" s="13">
        <f t="shared" si="112"/>
        <v>1.1494080377012139</v>
      </c>
      <c r="I333" s="13">
        <f t="shared" si="107"/>
        <v>73.652590830880612</v>
      </c>
      <c r="J333" s="14">
        <f t="shared" si="108"/>
        <v>206.96378023477453</v>
      </c>
      <c r="K333" s="15">
        <f t="shared" si="109"/>
        <v>60.809256486705699</v>
      </c>
      <c r="L333" s="14">
        <f t="shared" si="110"/>
        <v>170.87401072764303</v>
      </c>
    </row>
    <row r="334" spans="1:12">
      <c r="A334" s="28">
        <f t="shared" si="111"/>
        <v>14</v>
      </c>
      <c r="B334" s="13">
        <f>(VLOOKUP(E$12,'Aging Factor'!$A$145:$G$242,5,1)*(SQRT(A334+K$12-L$12)*Calibration!$B$49)-((0.32989795*(A334+K$12-L$12)-1.302)))</f>
        <v>19.539206429643876</v>
      </c>
      <c r="C334" s="13">
        <f>A334*$B$50*(VLOOKUP(E$12,'Aging Factor'!$A$145:$G$242,5,1)*(G$12/L$12/12500)*('Degradation Model'!$B$26/F$12))</f>
        <v>6.539235858192237</v>
      </c>
      <c r="D334" s="13">
        <f>D333+(C321*100/I333)</f>
        <v>7.9354836805318474</v>
      </c>
      <c r="E334" s="13">
        <f>((VLOOKUP(E$12,'Aging Factor'!$A$145:$H$242,8,1)-1)*F334*J$12/7)</f>
        <v>0</v>
      </c>
      <c r="F334" s="13">
        <f t="shared" si="105"/>
        <v>27.474690110175722</v>
      </c>
      <c r="G334" s="13">
        <f t="shared" si="106"/>
        <v>27.474690110175722</v>
      </c>
      <c r="H334" s="13">
        <f t="shared" si="112"/>
        <v>1.127280941056334</v>
      </c>
      <c r="I334" s="13">
        <f t="shared" si="107"/>
        <v>72.525309889824285</v>
      </c>
      <c r="J334" s="14">
        <f t="shared" si="108"/>
        <v>203.79612079040623</v>
      </c>
      <c r="K334" s="15">
        <f t="shared" si="109"/>
        <v>59.878547667043534</v>
      </c>
      <c r="L334" s="14">
        <f t="shared" si="110"/>
        <v>168.25871894439234</v>
      </c>
    </row>
    <row r="335" spans="1:12">
      <c r="A335" s="28">
        <f t="shared" si="111"/>
        <v>15</v>
      </c>
      <c r="B335" s="13">
        <f>(VLOOKUP(E$12,'Aging Factor'!$A$145:$G$242,5,1)*(SQRT(A335+K$12-L$12)*Calibration!$B$49)-((0.32989795*(A335+K$12-L$12)-1.302)))</f>
        <v>20.003757267827183</v>
      </c>
      <c r="C335" s="13">
        <f>A335*$B$50*(VLOOKUP(E$12,'Aging Factor'!$A$145:$G$242,5,1)*(G$12/L$12/12500)*('Degradation Model'!$B$26/F$12))</f>
        <v>7.0063241337773965</v>
      </c>
      <c r="D335" s="13">
        <f>D334+(C321*100/I334)</f>
        <v>8.5795185371835867</v>
      </c>
      <c r="E335" s="13">
        <f>((VLOOKUP(E$12,'Aging Factor'!$A$145:$H$242,8,1)-1)*F335*J$12/7)</f>
        <v>0</v>
      </c>
      <c r="F335" s="13">
        <f t="shared" si="105"/>
        <v>28.583275805010771</v>
      </c>
      <c r="G335" s="13">
        <f t="shared" si="106"/>
        <v>28.583275805010771</v>
      </c>
      <c r="H335" s="13">
        <f t="shared" si="112"/>
        <v>1.1085856948350497</v>
      </c>
      <c r="I335" s="13">
        <f t="shared" si="107"/>
        <v>71.416724194989229</v>
      </c>
      <c r="J335" s="14">
        <f t="shared" si="108"/>
        <v>200.68099498791972</v>
      </c>
      <c r="K335" s="15">
        <f t="shared" si="109"/>
        <v>58.963274068460855</v>
      </c>
      <c r="L335" s="14">
        <f t="shared" si="110"/>
        <v>165.686800132375</v>
      </c>
    </row>
    <row r="338" spans="1:12">
      <c r="A338" s="7" t="s">
        <v>94</v>
      </c>
    </row>
    <row r="340" spans="1:12">
      <c r="A340" s="29"/>
      <c r="B340" s="29" t="s">
        <v>54</v>
      </c>
      <c r="C340" s="29" t="s">
        <v>54</v>
      </c>
      <c r="D340" s="29" t="s">
        <v>2</v>
      </c>
      <c r="E340" s="29" t="s">
        <v>3</v>
      </c>
      <c r="F340" s="29" t="s">
        <v>4</v>
      </c>
      <c r="G340" s="29" t="s">
        <v>54</v>
      </c>
      <c r="H340" s="29" t="s">
        <v>55</v>
      </c>
      <c r="I340" s="29" t="s">
        <v>6</v>
      </c>
      <c r="J340" s="29" t="s">
        <v>7</v>
      </c>
      <c r="K340" s="29" t="s">
        <v>8</v>
      </c>
      <c r="L340" s="29" t="s">
        <v>8</v>
      </c>
    </row>
    <row r="341" spans="1:12">
      <c r="A341" s="29" t="s">
        <v>56</v>
      </c>
      <c r="B341" s="29" t="s">
        <v>9</v>
      </c>
      <c r="C341" s="29" t="s">
        <v>10</v>
      </c>
      <c r="D341" s="29" t="s">
        <v>10</v>
      </c>
      <c r="E341" s="29" t="s">
        <v>11</v>
      </c>
      <c r="F341" s="29" t="s">
        <v>10</v>
      </c>
      <c r="G341" s="29" t="s">
        <v>12</v>
      </c>
      <c r="H341" s="29" t="s">
        <v>57</v>
      </c>
      <c r="I341" s="29" t="s">
        <v>52</v>
      </c>
      <c r="J341" s="29" t="s">
        <v>14</v>
      </c>
      <c r="K341" s="29" t="s">
        <v>15</v>
      </c>
      <c r="L341" s="29" t="s">
        <v>14</v>
      </c>
    </row>
    <row r="342" spans="1:12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</row>
    <row r="343" spans="1:12">
      <c r="A343" s="32">
        <v>1</v>
      </c>
      <c r="B343" s="13">
        <f>(VLOOKUP(E$13,'Aging Factor'!$A$145:$G$242,5,1)*(SQRT(A343+K$13-L$13)*Calibration!$B$49)-((0.32989795*(A343+K$13-L$13)-1.302)))</f>
        <v>6.4932110645309313</v>
      </c>
      <c r="C343" s="13">
        <f>A343*$B$50*(VLOOKUP(E$13,'Aging Factor'!$A$145:$G$242,5,1)*(G$13/L$13/12500)*('Degradation Model'!$B$26/F$13))</f>
        <v>3.096283825179758</v>
      </c>
      <c r="D343" s="13">
        <f>C343</f>
        <v>3.096283825179758</v>
      </c>
      <c r="E343" s="13">
        <f>((VLOOKUP(E$13,'Aging Factor'!$A$145:$H$242,8,1)-1)*F343*J$13/7)</f>
        <v>0.66243427849852399</v>
      </c>
      <c r="F343" s="13">
        <f t="shared" ref="F343:F357" si="113">B343+D343</f>
        <v>9.5894948897106893</v>
      </c>
      <c r="G343" s="13">
        <f t="shared" ref="G343:G357" si="114">F343+E343</f>
        <v>10.251929168209212</v>
      </c>
      <c r="H343" s="13">
        <f>G343</f>
        <v>10.251929168209212</v>
      </c>
      <c r="I343" s="13">
        <f t="shared" ref="I343:I357" si="115">IF(100-G343&lt;=5,5,100-G343)</f>
        <v>89.748070831790784</v>
      </c>
      <c r="J343" s="33">
        <f t="shared" ref="J343:J357" si="116">IF(281*I343/100&gt;0,281*I343/100,0)</f>
        <v>252.19207903733212</v>
      </c>
      <c r="K343" s="15">
        <f t="shared" ref="K343:K357" si="117">IF(L343/281*100&gt;0,L343/281*100,0)</f>
        <v>74.098051362902012</v>
      </c>
      <c r="L343" s="14">
        <f t="shared" ref="L343:L357" si="118">IF(I343*232/100&gt;0,I343*232/100,0)</f>
        <v>208.21552432975463</v>
      </c>
    </row>
    <row r="344" spans="1:12">
      <c r="A344" s="28">
        <f t="shared" ref="A344:A357" si="119">A343+1</f>
        <v>2</v>
      </c>
      <c r="B344" s="13">
        <f>(VLOOKUP(E$13,'Aging Factor'!$A$145:$G$242,5,1)*(SQRT(A344+K$13-L$13)*Calibration!$B$49)-((0.32989795*(A344+K$13-L$13)-1.302)))</f>
        <v>8.0360132020972888</v>
      </c>
      <c r="C344" s="13">
        <f>A344*$B$50*(VLOOKUP(E$13,'Aging Factor'!$A$145:$G$242,5,1)*(G$13/L$13/12500)*('Degradation Model'!$B$26/F$13))</f>
        <v>6.192567650359516</v>
      </c>
      <c r="D344" s="13">
        <f>D343+(C343*100/I343)</f>
        <v>6.546256394487604</v>
      </c>
      <c r="E344" s="13">
        <f>((VLOOKUP(E$13,'Aging Factor'!$A$145:$H$242,8,1)-1)*F344*J$13/7)</f>
        <v>1.007330975216371</v>
      </c>
      <c r="F344" s="13">
        <f t="shared" si="113"/>
        <v>14.582269596584894</v>
      </c>
      <c r="G344" s="13">
        <f t="shared" si="114"/>
        <v>15.589600571801265</v>
      </c>
      <c r="H344" s="13">
        <f t="shared" ref="H344:H357" si="120">G344-G343</f>
        <v>5.3376714035920525</v>
      </c>
      <c r="I344" s="13">
        <f t="shared" si="115"/>
        <v>84.41039942819873</v>
      </c>
      <c r="J344" s="14">
        <f t="shared" si="116"/>
        <v>237.19322239323844</v>
      </c>
      <c r="K344" s="15">
        <f t="shared" si="117"/>
        <v>69.691148282356238</v>
      </c>
      <c r="L344" s="14">
        <f t="shared" si="118"/>
        <v>195.83212667342104</v>
      </c>
    </row>
    <row r="345" spans="1:12">
      <c r="A345" s="28">
        <f t="shared" si="119"/>
        <v>3</v>
      </c>
      <c r="B345" s="13">
        <f>(VLOOKUP(E$13,'Aging Factor'!$A$145:$G$242,5,1)*(SQRT(A345+K$13-L$13)*Calibration!$B$49)-((0.32989795*(A345+K$13-L$13)-1.302)))</f>
        <v>9.1963415569653559</v>
      </c>
      <c r="C345" s="13">
        <f>A345*$B$50*(VLOOKUP(E$13,'Aging Factor'!$A$145:$G$242,5,1)*(G$13/L$13/12500)*('Degradation Model'!$B$26/F$13))</f>
        <v>9.2888514755392748</v>
      </c>
      <c r="D345" s="13">
        <f>D344+(C343*100/I344)</f>
        <v>10.214387153439317</v>
      </c>
      <c r="E345" s="13">
        <f>((VLOOKUP(E$13,'Aging Factor'!$A$145:$H$242,8,1)-1)*F345*J$13/7)</f>
        <v>1.3408768883337328</v>
      </c>
      <c r="F345" s="13">
        <f t="shared" si="113"/>
        <v>19.410728710404673</v>
      </c>
      <c r="G345" s="13">
        <f t="shared" si="114"/>
        <v>20.751605598738404</v>
      </c>
      <c r="H345" s="13">
        <f t="shared" si="120"/>
        <v>5.1620050269371394</v>
      </c>
      <c r="I345" s="13">
        <f t="shared" si="115"/>
        <v>79.248394401261592</v>
      </c>
      <c r="J345" s="14">
        <f t="shared" si="116"/>
        <v>222.68798826754508</v>
      </c>
      <c r="K345" s="15">
        <f t="shared" si="117"/>
        <v>65.429279363319182</v>
      </c>
      <c r="L345" s="14">
        <f t="shared" si="118"/>
        <v>183.85627501092691</v>
      </c>
    </row>
    <row r="346" spans="1:12">
      <c r="A346" s="28">
        <f t="shared" si="119"/>
        <v>4</v>
      </c>
      <c r="B346" s="13">
        <f>(VLOOKUP(E$13,'Aging Factor'!$A$145:$G$242,5,1)*(SQRT(A346+K$13-L$13)*Calibration!$B$49)-((0.32989795*(A346+K$13-L$13)-1.302)))</f>
        <v>10.142332018120593</v>
      </c>
      <c r="C346" s="13">
        <f>A346*$B$50*(VLOOKUP(E$13,'Aging Factor'!$A$145:$G$242,5,1)*(G$13/L$13/12500)*('Degradation Model'!$B$26/F$13))</f>
        <v>12.385135300719032</v>
      </c>
      <c r="D346" s="13">
        <f>D345+(C343*100/I345)</f>
        <v>14.121449054911061</v>
      </c>
      <c r="E346" s="13">
        <f>((VLOOKUP(E$13,'Aging Factor'!$A$145:$H$242,8,1)-1)*F346*J$13/7)</f>
        <v>1.6761216824888243</v>
      </c>
      <c r="F346" s="13">
        <f t="shared" si="113"/>
        <v>24.263781073031652</v>
      </c>
      <c r="G346" s="13">
        <f t="shared" si="114"/>
        <v>25.939902755520475</v>
      </c>
      <c r="H346" s="13">
        <f t="shared" si="120"/>
        <v>5.1882971567820704</v>
      </c>
      <c r="I346" s="13">
        <f t="shared" si="115"/>
        <v>74.060097244479522</v>
      </c>
      <c r="J346" s="14">
        <f t="shared" si="116"/>
        <v>208.10887325698747</v>
      </c>
      <c r="K346" s="15">
        <f t="shared" si="117"/>
        <v>61.14570306305783</v>
      </c>
      <c r="L346" s="14">
        <f t="shared" si="118"/>
        <v>171.8194256071925</v>
      </c>
    </row>
    <row r="347" spans="1:12">
      <c r="A347" s="32">
        <f t="shared" si="119"/>
        <v>5</v>
      </c>
      <c r="B347" s="13">
        <f>(VLOOKUP(E$13,'Aging Factor'!$A$145:$G$242,5,1)*(SQRT(A347+K$13-L$13)*Calibration!$B$49)-((0.32989795*(A347+K$13-L$13)-1.302)))</f>
        <v>10.946257485058375</v>
      </c>
      <c r="C347" s="13">
        <f>A347*$B$50*(VLOOKUP(E$13,'Aging Factor'!$A$145:$G$242,5,1)*(G$13/L$13/12500)*('Degradation Model'!$B$26/F$13))</f>
        <v>15.481419125898789</v>
      </c>
      <c r="D347" s="13">
        <f>D346+(C343*100/I346)</f>
        <v>18.302221077068452</v>
      </c>
      <c r="E347" s="13">
        <f>((VLOOKUP(E$13,'Aging Factor'!$A$145:$H$242,8,1)-1)*F347*J$13/7)</f>
        <v>2.0204604117648755</v>
      </c>
      <c r="F347" s="13">
        <f t="shared" si="113"/>
        <v>29.248478562126827</v>
      </c>
      <c r="G347" s="13">
        <f t="shared" si="114"/>
        <v>31.268938973891704</v>
      </c>
      <c r="H347" s="13">
        <f t="shared" si="120"/>
        <v>5.329036218371229</v>
      </c>
      <c r="I347" s="13">
        <f t="shared" si="115"/>
        <v>68.731061026108293</v>
      </c>
      <c r="J347" s="33">
        <f t="shared" si="116"/>
        <v>193.13428148336433</v>
      </c>
      <c r="K347" s="15">
        <f t="shared" si="117"/>
        <v>56.745929388103647</v>
      </c>
      <c r="L347" s="14">
        <f t="shared" si="118"/>
        <v>159.45606158057123</v>
      </c>
    </row>
    <row r="348" spans="1:12">
      <c r="A348" s="28">
        <f t="shared" si="119"/>
        <v>6</v>
      </c>
      <c r="B348" s="13">
        <f>(VLOOKUP(E$13,'Aging Factor'!$A$145:$G$242,5,1)*(SQRT(A348+K$13-L$13)*Calibration!$B$49)-((0.32989795*(A348+K$13-L$13)-1.302)))</f>
        <v>11.64709127952686</v>
      </c>
      <c r="C348" s="13">
        <f>A348*$B$50*(VLOOKUP(E$13,'Aging Factor'!$A$145:$G$242,5,1)*(G$13/L$13/12500)*('Degradation Model'!$B$26/F$13))</f>
        <v>18.57770295107855</v>
      </c>
      <c r="D348" s="13">
        <f>D347+(C343*100/I347)</f>
        <v>22.807147640043521</v>
      </c>
      <c r="E348" s="13">
        <f>((VLOOKUP(E$13,'Aging Factor'!$A$145:$H$242,8,1)-1)*F348*J$13/7)</f>
        <v>2.3800699789089665</v>
      </c>
      <c r="F348" s="13">
        <f t="shared" si="113"/>
        <v>34.454238919570379</v>
      </c>
      <c r="G348" s="13">
        <f t="shared" si="114"/>
        <v>36.834308898479343</v>
      </c>
      <c r="H348" s="13">
        <f t="shared" si="120"/>
        <v>5.5653699245876389</v>
      </c>
      <c r="I348" s="13">
        <f t="shared" si="115"/>
        <v>63.165691101520657</v>
      </c>
      <c r="J348" s="14">
        <f t="shared" si="116"/>
        <v>177.49559199527306</v>
      </c>
      <c r="K348" s="15">
        <f t="shared" si="117"/>
        <v>52.151033222607801</v>
      </c>
      <c r="L348" s="14">
        <f t="shared" si="118"/>
        <v>146.54440335552792</v>
      </c>
    </row>
    <row r="349" spans="1:12">
      <c r="A349" s="28">
        <f t="shared" si="119"/>
        <v>7</v>
      </c>
      <c r="B349" s="13">
        <f>(VLOOKUP(E$13,'Aging Factor'!$A$145:$G$242,5,1)*(SQRT(A349+K$13-L$13)*Calibration!$B$49)-((0.32989795*(A349+K$13-L$13)-1.302)))</f>
        <v>12.268697632492058</v>
      </c>
      <c r="C349" s="13">
        <f>A349*$B$50*(VLOOKUP(E$13,'Aging Factor'!$A$145:$G$242,5,1)*(G$13/L$13/12500)*('Degradation Model'!$B$26/F$13))</f>
        <v>21.673986776258307</v>
      </c>
      <c r="D349" s="13">
        <f>D348+(C343*100/I348)</f>
        <v>27.708991934287646</v>
      </c>
      <c r="E349" s="13">
        <f>((VLOOKUP(E$13,'Aging Factor'!$A$145:$H$242,8,1)-1)*F349*J$13/7)</f>
        <v>2.7616253252945464</v>
      </c>
      <c r="F349" s="13">
        <f t="shared" si="113"/>
        <v>39.977689566779702</v>
      </c>
      <c r="G349" s="13">
        <f t="shared" si="114"/>
        <v>42.739314892074248</v>
      </c>
      <c r="H349" s="13">
        <f t="shared" si="120"/>
        <v>5.9050059935949051</v>
      </c>
      <c r="I349" s="13">
        <f t="shared" si="115"/>
        <v>57.260685107925752</v>
      </c>
      <c r="J349" s="14">
        <f t="shared" si="116"/>
        <v>160.90252515327137</v>
      </c>
      <c r="K349" s="15">
        <f t="shared" si="117"/>
        <v>47.275725783056131</v>
      </c>
      <c r="L349" s="14">
        <f t="shared" si="118"/>
        <v>132.84478945038774</v>
      </c>
    </row>
    <row r="350" spans="1:12">
      <c r="A350" s="28">
        <f t="shared" si="119"/>
        <v>8</v>
      </c>
      <c r="B350" s="13">
        <f>(VLOOKUP(E$13,'Aging Factor'!$A$145:$G$242,5,1)*(SQRT(A350+K$13-L$13)*Calibration!$B$49)-((0.32989795*(A350+K$13-L$13)-1.302)))</f>
        <v>12.826946907552662</v>
      </c>
      <c r="C350" s="13">
        <f>A350*$B$50*(VLOOKUP(E$13,'Aging Factor'!$A$145:$G$242,5,1)*(G$13/L$13/12500)*('Degradation Model'!$B$26/F$13))</f>
        <v>24.770270601438064</v>
      </c>
      <c r="D350" s="13">
        <f>D349+(C343*100/I349)</f>
        <v>33.116338736624776</v>
      </c>
      <c r="E350" s="13">
        <f>((VLOOKUP(E$13,'Aging Factor'!$A$145:$H$242,8,1)-1)*F350*J$13/7)</f>
        <v>3.1737237078261233</v>
      </c>
      <c r="F350" s="13">
        <f t="shared" si="113"/>
        <v>45.943285644177436</v>
      </c>
      <c r="G350" s="13">
        <f t="shared" si="114"/>
        <v>49.117009352003556</v>
      </c>
      <c r="H350" s="13">
        <f t="shared" si="120"/>
        <v>6.3776944599293088</v>
      </c>
      <c r="I350" s="13">
        <f t="shared" si="115"/>
        <v>50.882990647996444</v>
      </c>
      <c r="J350" s="14">
        <f t="shared" si="116"/>
        <v>142.98120372086998</v>
      </c>
      <c r="K350" s="15">
        <f t="shared" si="117"/>
        <v>42.010155979840476</v>
      </c>
      <c r="L350" s="14">
        <f t="shared" si="118"/>
        <v>118.04853830335175</v>
      </c>
    </row>
    <row r="351" spans="1:12">
      <c r="A351" s="28">
        <f t="shared" si="119"/>
        <v>9</v>
      </c>
      <c r="B351" s="13">
        <f>(VLOOKUP(E$13,'Aging Factor'!$A$145:$G$242,5,1)*(SQRT(A351+K$13-L$13)*Calibration!$B$49)-((0.32989795*(A351+K$13-L$13)-1.302)))</f>
        <v>13.333027168019854</v>
      </c>
      <c r="C351" s="13">
        <f>A351*$B$50*(VLOOKUP(E$13,'Aging Factor'!$A$145:$G$242,5,1)*(G$13/L$13/12500)*('Degradation Model'!$B$26/F$13))</f>
        <v>27.866554426617821</v>
      </c>
      <c r="D351" s="13">
        <f>D350+(C343*100/I350)</f>
        <v>39.201444556366283</v>
      </c>
      <c r="E351" s="13">
        <f>((VLOOKUP(E$13,'Aging Factor'!$A$145:$H$242,8,1)-1)*F351*J$13/7)</f>
        <v>3.6290373239976512</v>
      </c>
      <c r="F351" s="13">
        <f t="shared" si="113"/>
        <v>52.534471724386137</v>
      </c>
      <c r="G351" s="13">
        <f t="shared" si="114"/>
        <v>56.163509048383787</v>
      </c>
      <c r="H351" s="13">
        <f t="shared" si="120"/>
        <v>7.0464996963802307</v>
      </c>
      <c r="I351" s="13">
        <f t="shared" si="115"/>
        <v>43.836490951616213</v>
      </c>
      <c r="J351" s="14">
        <f t="shared" si="116"/>
        <v>123.18053957404156</v>
      </c>
      <c r="K351" s="15">
        <f t="shared" si="117"/>
        <v>36.192405340836167</v>
      </c>
      <c r="L351" s="14">
        <f t="shared" si="118"/>
        <v>101.70065900774962</v>
      </c>
    </row>
    <row r="352" spans="1:12">
      <c r="A352" s="32">
        <f t="shared" si="119"/>
        <v>10</v>
      </c>
      <c r="B352" s="13">
        <f>(VLOOKUP(E$13,'Aging Factor'!$A$145:$G$242,5,1)*(SQRT(A352+K$13-L$13)*Calibration!$B$49)-((0.32989795*(A352+K$13-L$13)-1.302)))</f>
        <v>13.795176431023521</v>
      </c>
      <c r="C352" s="13">
        <f>A352*$B$50*(VLOOKUP(E$13,'Aging Factor'!$A$145:$G$242,5,1)*(G$13/L$13/12500)*('Degradation Model'!$B$26/F$13))</f>
        <v>30.962838251797578</v>
      </c>
      <c r="D352" s="13">
        <f>D351+(C343*100/I351)</f>
        <v>46.26470112176343</v>
      </c>
      <c r="E352" s="13">
        <f>((VLOOKUP(E$13,'Aging Factor'!$A$145:$H$242,8,1)-1)*F352*J$13/7)</f>
        <v>4.1488860582301674</v>
      </c>
      <c r="F352" s="13">
        <f t="shared" si="113"/>
        <v>60.059877552786951</v>
      </c>
      <c r="G352" s="13">
        <f t="shared" si="114"/>
        <v>64.208763611017119</v>
      </c>
      <c r="H352" s="13">
        <f t="shared" si="120"/>
        <v>8.0452545626333318</v>
      </c>
      <c r="I352" s="13">
        <f t="shared" si="115"/>
        <v>35.791236388982881</v>
      </c>
      <c r="J352" s="33">
        <f t="shared" si="116"/>
        <v>100.57337425304189</v>
      </c>
      <c r="K352" s="15">
        <f t="shared" si="117"/>
        <v>29.55005993681149</v>
      </c>
      <c r="L352" s="14">
        <f t="shared" si="118"/>
        <v>83.035668422440281</v>
      </c>
    </row>
    <row r="353" spans="1:12">
      <c r="A353" s="28">
        <f t="shared" si="119"/>
        <v>11</v>
      </c>
      <c r="B353" s="13">
        <f>(VLOOKUP(E$13,'Aging Factor'!$A$145:$G$242,5,1)*(SQRT(A353+K$13-L$13)*Calibration!$B$49)-((0.32989795*(A353+K$13-L$13)-1.302)))</f>
        <v>14.219668887535247</v>
      </c>
      <c r="C353" s="13">
        <f>A353*$B$50*(VLOOKUP(E$13,'Aging Factor'!$A$145:$G$242,5,1)*(G$13/L$13/12500)*('Degradation Model'!$B$26/F$13))</f>
        <v>34.059122076977339</v>
      </c>
      <c r="D353" s="13">
        <f>D352+(C343*100/I352)</f>
        <v>54.915656320765287</v>
      </c>
      <c r="E353" s="13">
        <f>((VLOOKUP(E$13,'Aging Factor'!$A$145:$H$242,8,1)-1)*F353*J$13/7)</f>
        <v>4.7758103841591453</v>
      </c>
      <c r="F353" s="13">
        <f t="shared" si="113"/>
        <v>69.135325208300529</v>
      </c>
      <c r="G353" s="13">
        <f t="shared" si="114"/>
        <v>73.911135592459672</v>
      </c>
      <c r="H353" s="13">
        <f t="shared" si="120"/>
        <v>9.7023719814425533</v>
      </c>
      <c r="I353" s="13">
        <f t="shared" si="115"/>
        <v>26.088864407540328</v>
      </c>
      <c r="J353" s="14">
        <f t="shared" si="116"/>
        <v>73.309708985188323</v>
      </c>
      <c r="K353" s="15">
        <f t="shared" si="117"/>
        <v>21.539560649641839</v>
      </c>
      <c r="L353" s="14">
        <f t="shared" si="118"/>
        <v>60.526165425493566</v>
      </c>
    </row>
    <row r="354" spans="1:12">
      <c r="A354" s="28">
        <f t="shared" si="119"/>
        <v>12</v>
      </c>
      <c r="B354" s="13">
        <f>(VLOOKUP(E$13,'Aging Factor'!$A$145:$G$242,5,1)*(SQRT(A354+K$13-L$13)*Calibration!$B$49)-((0.32989795*(A354+K$13-L$13)-1.302)))</f>
        <v>14.611413818197397</v>
      </c>
      <c r="C354" s="13">
        <f>A354*$B$50*(VLOOKUP(E$13,'Aging Factor'!$A$145:$G$242,5,1)*(G$13/L$13/12500)*('Degradation Model'!$B$26/F$13))</f>
        <v>37.155405902157099</v>
      </c>
      <c r="D354" s="13">
        <f>D353+(C343*100/I353)</f>
        <v>66.783876327630963</v>
      </c>
      <c r="E354" s="13">
        <f>((VLOOKUP(E$13,'Aging Factor'!$A$145:$H$242,8,1)-1)*F354*J$13/7)</f>
        <v>5.6227184977994735</v>
      </c>
      <c r="F354" s="13">
        <f t="shared" si="113"/>
        <v>81.395290145828355</v>
      </c>
      <c r="G354" s="13">
        <f t="shared" si="114"/>
        <v>87.018008643627823</v>
      </c>
      <c r="H354" s="13">
        <f t="shared" si="120"/>
        <v>13.106873051168151</v>
      </c>
      <c r="I354" s="13">
        <f t="shared" si="115"/>
        <v>12.981991356372177</v>
      </c>
      <c r="J354" s="14">
        <f t="shared" si="116"/>
        <v>36.479395711405822</v>
      </c>
      <c r="K354" s="15">
        <f t="shared" si="117"/>
        <v>10.718227739068844</v>
      </c>
      <c r="L354" s="14">
        <f t="shared" si="118"/>
        <v>30.118219946783451</v>
      </c>
    </row>
    <row r="355" spans="1:12">
      <c r="A355" s="28">
        <f t="shared" si="119"/>
        <v>13</v>
      </c>
      <c r="B355" s="13">
        <f>(VLOOKUP(E$13,'Aging Factor'!$A$145:$G$242,5,1)*(SQRT(A355+K$13-L$13)*Calibration!$B$49)-((0.32989795*(A355+K$13-L$13)-1.302)))</f>
        <v>14.974338319574896</v>
      </c>
      <c r="C355" s="13">
        <f>A355*$B$50*(VLOOKUP(E$13,'Aging Factor'!$A$145:$G$242,5,1)*(G$13/L$13/12500)*('Degradation Model'!$B$26/F$13))</f>
        <v>40.251689727336853</v>
      </c>
      <c r="D355" s="13">
        <f>D354+(C343*100/I354)</f>
        <v>90.634483990067551</v>
      </c>
      <c r="E355" s="13">
        <f>((VLOOKUP(E$13,'Aging Factor'!$A$145:$H$242,8,1)-1)*F355*J$13/7)</f>
        <v>7.2953690277087615</v>
      </c>
      <c r="F355" s="13">
        <f t="shared" si="113"/>
        <v>105.60882230964245</v>
      </c>
      <c r="G355" s="13">
        <f t="shared" si="114"/>
        <v>112.90419133735121</v>
      </c>
      <c r="H355" s="13">
        <f t="shared" si="120"/>
        <v>25.886182693723384</v>
      </c>
      <c r="I355" s="13">
        <f t="shared" si="115"/>
        <v>5</v>
      </c>
      <c r="J355" s="14">
        <f t="shared" si="116"/>
        <v>14.05</v>
      </c>
      <c r="K355" s="15">
        <f t="shared" si="117"/>
        <v>4.1281138790035588</v>
      </c>
      <c r="L355" s="14">
        <f t="shared" si="118"/>
        <v>11.6</v>
      </c>
    </row>
    <row r="356" spans="1:12">
      <c r="A356" s="28">
        <f t="shared" si="119"/>
        <v>14</v>
      </c>
      <c r="B356" s="13">
        <f>(VLOOKUP(E$13,'Aging Factor'!$A$145:$G$242,5,1)*(SQRT(A356+K$13-L$13)*Calibration!$B$49)-((0.32989795*(A356+K$13-L$13)-1.302)))</f>
        <v>15.311642197404517</v>
      </c>
      <c r="C356" s="13">
        <f>A356*$B$50*(VLOOKUP(E$13,'Aging Factor'!$A$145:$G$242,5,1)*(G$13/L$13/12500)*('Degradation Model'!$B$26/F$13))</f>
        <v>43.347973552516613</v>
      </c>
      <c r="D356" s="13">
        <f>D355+(C343*100/I355)</f>
        <v>152.56016049366272</v>
      </c>
      <c r="E356" s="13">
        <f>((VLOOKUP(E$13,'Aging Factor'!$A$145:$H$242,8,1)-1)*F356*J$13/7)</f>
        <v>11.596443584867343</v>
      </c>
      <c r="F356" s="13">
        <f t="shared" si="113"/>
        <v>167.87180269106724</v>
      </c>
      <c r="G356" s="13">
        <f t="shared" si="114"/>
        <v>179.46824627593458</v>
      </c>
      <c r="H356" s="13">
        <f t="shared" si="120"/>
        <v>66.564054938583368</v>
      </c>
      <c r="I356" s="13">
        <f t="shared" si="115"/>
        <v>5</v>
      </c>
      <c r="J356" s="14">
        <f t="shared" si="116"/>
        <v>14.05</v>
      </c>
      <c r="K356" s="15">
        <f t="shared" si="117"/>
        <v>4.1281138790035588</v>
      </c>
      <c r="L356" s="14">
        <f t="shared" si="118"/>
        <v>11.6</v>
      </c>
    </row>
    <row r="357" spans="1:12">
      <c r="A357" s="28">
        <f t="shared" si="119"/>
        <v>15</v>
      </c>
      <c r="B357" s="13">
        <f>(VLOOKUP(E$13,'Aging Factor'!$A$145:$G$242,5,1)*(SQRT(A357+K$13-L$13)*Calibration!$B$49)-((0.32989795*(A357+K$13-L$13)-1.302)))</f>
        <v>15.625973635029734</v>
      </c>
      <c r="C357" s="13">
        <f>A357*$B$50*(VLOOKUP(E$13,'Aging Factor'!$A$145:$G$242,5,1)*(G$13/L$13/12500)*('Degradation Model'!$B$26/F$13))</f>
        <v>46.444257377696367</v>
      </c>
      <c r="D357" s="13">
        <f>D356+(C343*100/I356)</f>
        <v>214.48583699725788</v>
      </c>
      <c r="E357" s="13">
        <f>((VLOOKUP(E$13,'Aging Factor'!$A$145:$H$242,8,1)-1)*F357*J$13/7)</f>
        <v>15.895931225089507</v>
      </c>
      <c r="F357" s="13">
        <f t="shared" si="113"/>
        <v>230.11181063228761</v>
      </c>
      <c r="G357" s="13">
        <f t="shared" si="114"/>
        <v>246.00774185737711</v>
      </c>
      <c r="H357" s="13">
        <f t="shared" si="120"/>
        <v>66.539495581442537</v>
      </c>
      <c r="I357" s="13">
        <f t="shared" si="115"/>
        <v>5</v>
      </c>
      <c r="J357" s="14">
        <f t="shared" si="116"/>
        <v>14.05</v>
      </c>
      <c r="K357" s="15">
        <f t="shared" si="117"/>
        <v>4.1281138790035588</v>
      </c>
      <c r="L357" s="14">
        <f t="shared" si="118"/>
        <v>11.6</v>
      </c>
    </row>
    <row r="360" spans="1:12">
      <c r="A360" s="7" t="s">
        <v>95</v>
      </c>
    </row>
    <row r="362" spans="1:12">
      <c r="A362" s="29"/>
      <c r="B362" s="29" t="s">
        <v>54</v>
      </c>
      <c r="C362" s="29" t="s">
        <v>54</v>
      </c>
      <c r="D362" s="29" t="s">
        <v>2</v>
      </c>
      <c r="E362" s="29" t="s">
        <v>3</v>
      </c>
      <c r="F362" s="29" t="s">
        <v>4</v>
      </c>
      <c r="G362" s="29" t="s">
        <v>54</v>
      </c>
      <c r="H362" s="29" t="s">
        <v>55</v>
      </c>
      <c r="I362" s="29" t="s">
        <v>6</v>
      </c>
      <c r="J362" s="29" t="s">
        <v>7</v>
      </c>
      <c r="K362" s="29" t="s">
        <v>8</v>
      </c>
      <c r="L362" s="29" t="s">
        <v>8</v>
      </c>
    </row>
    <row r="363" spans="1:12">
      <c r="A363" s="29" t="s">
        <v>56</v>
      </c>
      <c r="B363" s="29" t="s">
        <v>9</v>
      </c>
      <c r="C363" s="29" t="s">
        <v>10</v>
      </c>
      <c r="D363" s="29" t="s">
        <v>10</v>
      </c>
      <c r="E363" s="29" t="s">
        <v>11</v>
      </c>
      <c r="F363" s="29" t="s">
        <v>10</v>
      </c>
      <c r="G363" s="29" t="s">
        <v>12</v>
      </c>
      <c r="H363" s="29" t="s">
        <v>57</v>
      </c>
      <c r="I363" s="29" t="s">
        <v>52</v>
      </c>
      <c r="J363" s="29" t="s">
        <v>14</v>
      </c>
      <c r="K363" s="29" t="s">
        <v>15</v>
      </c>
      <c r="L363" s="29" t="s">
        <v>14</v>
      </c>
    </row>
    <row r="364" spans="1:12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</row>
    <row r="365" spans="1:12">
      <c r="A365" s="32">
        <v>1</v>
      </c>
      <c r="B365" s="13">
        <f>(VLOOKUP(E$14,'Aging Factor'!$A$145:$G$242,5,1)*(SQRT(A365+K$14-L$14)*Calibration!$B$49)-((0.32989795*(A365+K$14-L$14)-1.302)))</f>
        <v>8.2428677176008254</v>
      </c>
      <c r="C365" s="13">
        <f>A365*$B$50*(VLOOKUP(E$14,'Aging Factor'!$A$145:$G$242,5,1)*(G$14/L$14/12500)*('Degradation Model'!$B$26/F$14))</f>
        <v>1.2137803035109964</v>
      </c>
      <c r="D365" s="13">
        <f>C365</f>
        <v>1.2137803035109964</v>
      </c>
      <c r="E365" s="13">
        <f>((VLOOKUP(E$14,'Aging Factor'!$A$145:$H$242,8,1)-1)*F365*J$14/7)</f>
        <v>1.0020539220096276</v>
      </c>
      <c r="F365" s="13">
        <f t="shared" ref="F365:F379" si="121">B365+D365</f>
        <v>9.4566480211118211</v>
      </c>
      <c r="G365" s="13">
        <f t="shared" ref="G365:G379" si="122">F365+E365</f>
        <v>10.458701943121449</v>
      </c>
      <c r="H365" s="13">
        <f>G365</f>
        <v>10.458701943121449</v>
      </c>
      <c r="I365" s="13">
        <f t="shared" ref="I365:I379" si="123">IF(100-G365&lt;=5,5,100-G365)</f>
        <v>89.541298056878546</v>
      </c>
      <c r="J365" s="33">
        <f t="shared" ref="J365:J379" si="124">IF(281*I365/100&gt;0,281*I365/100,0)</f>
        <v>251.61104753982872</v>
      </c>
      <c r="K365" s="15">
        <f t="shared" ref="K365:K379" si="125">IF(L365/281*100&gt;0,L365/281*100,0)</f>
        <v>73.927335050518934</v>
      </c>
      <c r="L365" s="14">
        <f t="shared" ref="L365:L379" si="126">IF(I365*232/100&gt;0,I365*232/100,0)</f>
        <v>207.73581149195823</v>
      </c>
    </row>
    <row r="366" spans="1:12">
      <c r="A366" s="28">
        <f t="shared" ref="A366:A379" si="127">A365+1</f>
        <v>2</v>
      </c>
      <c r="B366" s="13">
        <f>(VLOOKUP(E$14,'Aging Factor'!$A$145:$G$242,5,1)*(SQRT(A366+K$14-L$14)*Calibration!$B$49)-((0.32989795*(A366+K$14-L$14)-1.302)))</f>
        <v>10.58501897893106</v>
      </c>
      <c r="C366" s="13">
        <f>A366*$B$50*(VLOOKUP(E$14,'Aging Factor'!$A$145:$G$242,5,1)*(G$14/L$14/12500)*('Degradation Model'!$B$26/F$14))</f>
        <v>2.4275606070219928</v>
      </c>
      <c r="D366" s="13">
        <f>D365+(C365*100/I365)</f>
        <v>2.5693339193855138</v>
      </c>
      <c r="E366" s="13">
        <f>((VLOOKUP(E$14,'Aging Factor'!$A$145:$H$242,8,1)-1)*F366*J$14/7)</f>
        <v>1.3938734828482173</v>
      </c>
      <c r="F366" s="13">
        <f t="shared" si="121"/>
        <v>13.154352898316574</v>
      </c>
      <c r="G366" s="13">
        <f t="shared" si="122"/>
        <v>14.548226381164792</v>
      </c>
      <c r="H366" s="13">
        <f t="shared" ref="H366:H379" si="128">G366-G365</f>
        <v>4.0895244380433429</v>
      </c>
      <c r="I366" s="13">
        <f t="shared" si="123"/>
        <v>85.451773618835205</v>
      </c>
      <c r="J366" s="14">
        <f t="shared" si="124"/>
        <v>240.11948386892692</v>
      </c>
      <c r="K366" s="15">
        <f t="shared" si="125"/>
        <v>70.550930532276752</v>
      </c>
      <c r="L366" s="14">
        <f t="shared" si="126"/>
        <v>198.24811479569769</v>
      </c>
    </row>
    <row r="367" spans="1:12">
      <c r="A367" s="28">
        <f t="shared" si="127"/>
        <v>3</v>
      </c>
      <c r="B367" s="13">
        <f>(VLOOKUP(E$14,'Aging Factor'!$A$145:$G$242,5,1)*(SQRT(A367+K$14-L$14)*Calibration!$B$49)-((0.32989795*(A367+K$14-L$14)-1.302)))</f>
        <v>12.350394605662469</v>
      </c>
      <c r="C367" s="13">
        <f>A367*$B$50*(VLOOKUP(E$14,'Aging Factor'!$A$145:$G$242,5,1)*(G$14/L$14/12500)*('Degradation Model'!$B$26/F$14))</f>
        <v>3.641340910532989</v>
      </c>
      <c r="D367" s="13">
        <f>D366+(C365*100/I366)</f>
        <v>3.9897611991341648</v>
      </c>
      <c r="E367" s="13">
        <f>((VLOOKUP(E$14,'Aging Factor'!$A$145:$H$242,8,1)-1)*F367*J$14/7)</f>
        <v>1.7314504223791327</v>
      </c>
      <c r="F367" s="13">
        <f t="shared" si="121"/>
        <v>16.340155804796634</v>
      </c>
      <c r="G367" s="13">
        <f t="shared" si="122"/>
        <v>18.071606227175767</v>
      </c>
      <c r="H367" s="13">
        <f t="shared" si="128"/>
        <v>3.5233798460109753</v>
      </c>
      <c r="I367" s="13">
        <f t="shared" si="123"/>
        <v>81.928393772824236</v>
      </c>
      <c r="J367" s="14">
        <f t="shared" si="124"/>
        <v>230.21878650163609</v>
      </c>
      <c r="K367" s="15">
        <f t="shared" si="125"/>
        <v>67.6419478836129</v>
      </c>
      <c r="L367" s="14">
        <f t="shared" si="126"/>
        <v>190.07387355295225</v>
      </c>
    </row>
    <row r="368" spans="1:12">
      <c r="A368" s="28">
        <f t="shared" si="127"/>
        <v>4</v>
      </c>
      <c r="B368" s="13">
        <f>(VLOOKUP(E$14,'Aging Factor'!$A$145:$G$242,5,1)*(SQRT(A368+K$14-L$14)*Calibration!$B$49)-((0.32989795*(A368+K$14-L$14)-1.302)))</f>
        <v>13.802841925431707</v>
      </c>
      <c r="C368" s="13">
        <f>A368*$B$50*(VLOOKUP(E$14,'Aging Factor'!$A$145:$G$242,5,1)*(G$14/L$14/12500)*('Degradation Model'!$B$26/F$14))</f>
        <v>4.8551212140439857</v>
      </c>
      <c r="D368" s="13">
        <f>D367+(C365*100/I367)</f>
        <v>5.4712748082946669</v>
      </c>
      <c r="E368" s="13">
        <f>((VLOOKUP(E$14,'Aging Factor'!$A$145:$H$242,8,1)-1)*F368*J$14/7)</f>
        <v>2.0423414536719946</v>
      </c>
      <c r="F368" s="13">
        <f t="shared" si="121"/>
        <v>19.274116733726373</v>
      </c>
      <c r="G368" s="13">
        <f t="shared" si="122"/>
        <v>21.316458187398368</v>
      </c>
      <c r="H368" s="13">
        <f t="shared" si="128"/>
        <v>3.2448519602226007</v>
      </c>
      <c r="I368" s="13">
        <f t="shared" si="123"/>
        <v>78.683541812601632</v>
      </c>
      <c r="J368" s="14">
        <f t="shared" si="124"/>
        <v>221.1007524934106</v>
      </c>
      <c r="K368" s="15">
        <f t="shared" si="125"/>
        <v>64.962924201151523</v>
      </c>
      <c r="L368" s="14">
        <f t="shared" si="126"/>
        <v>182.54581700523579</v>
      </c>
    </row>
    <row r="369" spans="1:12">
      <c r="A369" s="32">
        <f t="shared" si="127"/>
        <v>5</v>
      </c>
      <c r="B369" s="13">
        <f>(VLOOKUP(E$14,'Aging Factor'!$A$145:$G$242,5,1)*(SQRT(A369+K$14-L$14)*Calibration!$B$49)-((0.32989795*(A369+K$14-L$14)-1.302)))</f>
        <v>15.051036730141723</v>
      </c>
      <c r="C369" s="13">
        <f>A369*$B$50*(VLOOKUP(E$14,'Aging Factor'!$A$145:$G$242,5,1)*(G$14/L$14/12500)*('Degradation Model'!$B$26/F$14))</f>
        <v>6.0689015175549823</v>
      </c>
      <c r="D369" s="13">
        <f>D368+(C365*100/I368)</f>
        <v>7.0138849597311932</v>
      </c>
      <c r="E369" s="13">
        <f>((VLOOKUP(E$14,'Aging Factor'!$A$145:$H$242,8,1)-1)*F369*J$14/7)</f>
        <v>2.3380632618250869</v>
      </c>
      <c r="F369" s="13">
        <f t="shared" si="121"/>
        <v>22.064921689872918</v>
      </c>
      <c r="G369" s="13">
        <f t="shared" si="122"/>
        <v>24.402984951698006</v>
      </c>
      <c r="H369" s="13">
        <f t="shared" si="128"/>
        <v>3.0865267642996379</v>
      </c>
      <c r="I369" s="13">
        <f t="shared" si="123"/>
        <v>75.597015048301998</v>
      </c>
      <c r="J369" s="33">
        <f t="shared" si="124"/>
        <v>212.4276122857286</v>
      </c>
      <c r="K369" s="15">
        <f t="shared" si="125"/>
        <v>62.414617406427261</v>
      </c>
      <c r="L369" s="14">
        <f t="shared" si="126"/>
        <v>175.38507491206062</v>
      </c>
    </row>
    <row r="370" spans="1:12">
      <c r="A370" s="28">
        <f t="shared" si="127"/>
        <v>6</v>
      </c>
      <c r="B370" s="13">
        <f>(VLOOKUP(E$14,'Aging Factor'!$A$145:$G$242,5,1)*(SQRT(A370+K$14-L$14)*Calibration!$B$49)-((0.32989795*(A370+K$14-L$14)-1.302)))</f>
        <v>16.152355206624676</v>
      </c>
      <c r="C370" s="13">
        <f>A370*$B$50*(VLOOKUP(E$14,'Aging Factor'!$A$145:$G$242,5,1)*(G$14/L$14/12500)*('Degradation Model'!$B$26/F$14))</f>
        <v>7.2826818210659781</v>
      </c>
      <c r="D370" s="13">
        <f>D369+(C365*100/I369)</f>
        <v>8.6194778561378342</v>
      </c>
      <c r="E370" s="13">
        <f>((VLOOKUP(E$14,'Aging Factor'!$A$145:$H$242,8,1)-1)*F370*J$14/7)</f>
        <v>2.6248954619536033</v>
      </c>
      <c r="F370" s="13">
        <f t="shared" si="121"/>
        <v>24.771833062762511</v>
      </c>
      <c r="G370" s="13">
        <f t="shared" si="122"/>
        <v>27.396728524716114</v>
      </c>
      <c r="H370" s="13">
        <f t="shared" si="128"/>
        <v>2.9937435730181079</v>
      </c>
      <c r="I370" s="13">
        <f t="shared" si="123"/>
        <v>72.60327147528389</v>
      </c>
      <c r="J370" s="14">
        <f t="shared" si="124"/>
        <v>204.01519284554772</v>
      </c>
      <c r="K370" s="15">
        <f t="shared" si="125"/>
        <v>59.942914527636525</v>
      </c>
      <c r="L370" s="14">
        <f t="shared" si="126"/>
        <v>168.43958982265863</v>
      </c>
    </row>
    <row r="371" spans="1:12">
      <c r="A371" s="28">
        <f t="shared" si="127"/>
        <v>7</v>
      </c>
      <c r="B371" s="13">
        <f>(VLOOKUP(E$14,'Aging Factor'!$A$145:$G$242,5,1)*(SQRT(A371+K$14-L$14)*Calibration!$B$49)-((0.32989795*(A371+K$14-L$14)-1.302)))</f>
        <v>17.141478436746116</v>
      </c>
      <c r="C371" s="13">
        <f>A371*$B$50*(VLOOKUP(E$14,'Aging Factor'!$A$145:$G$242,5,1)*(G$14/L$14/12500)*('Degradation Model'!$B$26/F$14))</f>
        <v>8.4964621245769756</v>
      </c>
      <c r="D371" s="13">
        <f>D370+(C365*100/I370)</f>
        <v>10.291276218452953</v>
      </c>
      <c r="E371" s="13">
        <f>((VLOOKUP(E$14,'Aging Factor'!$A$145:$H$242,8,1)-1)*F371*J$14/7)</f>
        <v>2.9068544512179271</v>
      </c>
      <c r="F371" s="13">
        <f t="shared" si="121"/>
        <v>27.432754655199069</v>
      </c>
      <c r="G371" s="13">
        <f t="shared" si="122"/>
        <v>30.339609106416997</v>
      </c>
      <c r="H371" s="13">
        <f t="shared" si="128"/>
        <v>2.9428805817008836</v>
      </c>
      <c r="I371" s="13">
        <f t="shared" si="123"/>
        <v>69.660390893582999</v>
      </c>
      <c r="J371" s="14">
        <f t="shared" si="124"/>
        <v>195.7456984109682</v>
      </c>
      <c r="K371" s="15">
        <f t="shared" si="125"/>
        <v>57.513205292922621</v>
      </c>
      <c r="L371" s="14">
        <f t="shared" si="126"/>
        <v>161.61210687311257</v>
      </c>
    </row>
    <row r="372" spans="1:12">
      <c r="A372" s="28">
        <f t="shared" si="127"/>
        <v>8</v>
      </c>
      <c r="B372" s="13">
        <f>(VLOOKUP(E$14,'Aging Factor'!$A$145:$G$242,5,1)*(SQRT(A372+K$14-L$14)*Calibration!$B$49)-((0.32989795*(A372+K$14-L$14)-1.302)))</f>
        <v>18.041268235709612</v>
      </c>
      <c r="C372" s="13">
        <f>A372*$B$50*(VLOOKUP(E$14,'Aging Factor'!$A$145:$G$242,5,1)*(G$14/L$14/12500)*('Degradation Model'!$B$26/F$14))</f>
        <v>9.7102424280879713</v>
      </c>
      <c r="D372" s="13">
        <f>D371+(C365*100/I371)</f>
        <v>12.033701559369046</v>
      </c>
      <c r="E372" s="13">
        <f>((VLOOKUP(E$14,'Aging Factor'!$A$145:$H$242,8,1)-1)*F372*J$14/7)</f>
        <v>3.1868312503753811</v>
      </c>
      <c r="F372" s="13">
        <f t="shared" si="121"/>
        <v>30.074969795078658</v>
      </c>
      <c r="G372" s="13">
        <f t="shared" si="122"/>
        <v>33.261801045454042</v>
      </c>
      <c r="H372" s="13">
        <f t="shared" si="128"/>
        <v>2.9221919390370452</v>
      </c>
      <c r="I372" s="13">
        <f t="shared" si="123"/>
        <v>66.738198954545965</v>
      </c>
      <c r="J372" s="14">
        <f t="shared" si="124"/>
        <v>187.53433906227417</v>
      </c>
      <c r="K372" s="15">
        <f t="shared" si="125"/>
        <v>55.100577072792397</v>
      </c>
      <c r="L372" s="14">
        <f t="shared" si="126"/>
        <v>154.83262157454664</v>
      </c>
    </row>
    <row r="373" spans="1:12">
      <c r="A373" s="28">
        <f t="shared" si="127"/>
        <v>9</v>
      </c>
      <c r="B373" s="13">
        <f>(VLOOKUP(E$14,'Aging Factor'!$A$145:$G$242,5,1)*(SQRT(A373+K$14-L$14)*Calibration!$B$49)-((0.32989795*(A373+K$14-L$14)-1.302)))</f>
        <v>18.867738642549682</v>
      </c>
      <c r="C373" s="13">
        <f>A373*$B$50*(VLOOKUP(E$14,'Aging Factor'!$A$145:$G$242,5,1)*(G$14/L$14/12500)*('Degradation Model'!$B$26/F$14))</f>
        <v>10.924022731598967</v>
      </c>
      <c r="D373" s="13">
        <f>D372+(C365*100/I372)</f>
        <v>13.85242055767117</v>
      </c>
      <c r="E373" s="13">
        <f>((VLOOKUP(E$14,'Aging Factor'!$A$145:$H$242,8,1)-1)*F373*J$14/7)</f>
        <v>3.4671232113285191</v>
      </c>
      <c r="F373" s="13">
        <f t="shared" si="121"/>
        <v>32.720159200220849</v>
      </c>
      <c r="G373" s="13">
        <f t="shared" si="122"/>
        <v>36.187282411549369</v>
      </c>
      <c r="H373" s="13">
        <f t="shared" si="128"/>
        <v>2.9254813660953261</v>
      </c>
      <c r="I373" s="13">
        <f t="shared" si="123"/>
        <v>63.812717588450631</v>
      </c>
      <c r="J373" s="14">
        <f t="shared" si="124"/>
        <v>179.31373642354629</v>
      </c>
      <c r="K373" s="15">
        <f t="shared" si="125"/>
        <v>52.685233026763512</v>
      </c>
      <c r="L373" s="14">
        <f t="shared" si="126"/>
        <v>148.04550480520547</v>
      </c>
    </row>
    <row r="374" spans="1:12">
      <c r="A374" s="32">
        <f t="shared" si="127"/>
        <v>10</v>
      </c>
      <c r="B374" s="13">
        <f>(VLOOKUP(E$14,'Aging Factor'!$A$145:$G$242,5,1)*(SQRT(A374+K$14-L$14)*Calibration!$B$49)-((0.32989795*(A374+K$14-L$14)-1.302)))</f>
        <v>19.632623870969731</v>
      </c>
      <c r="C374" s="13">
        <f>A374*$B$50*(VLOOKUP(E$14,'Aging Factor'!$A$145:$G$242,5,1)*(G$14/L$14/12500)*('Degradation Model'!$B$26/F$14))</f>
        <v>12.137803035109965</v>
      </c>
      <c r="D374" s="13">
        <f>D373+(C365*100/I373)</f>
        <v>15.75451836729443</v>
      </c>
      <c r="E374" s="13">
        <f>((VLOOKUP(E$14,'Aging Factor'!$A$145:$H$242,8,1)-1)*F374*J$14/7)</f>
        <v>3.7497244889945831</v>
      </c>
      <c r="F374" s="13">
        <f t="shared" si="121"/>
        <v>35.387142238264161</v>
      </c>
      <c r="G374" s="13">
        <f t="shared" si="122"/>
        <v>39.136866727258742</v>
      </c>
      <c r="H374" s="13">
        <f t="shared" si="128"/>
        <v>2.9495843157093731</v>
      </c>
      <c r="I374" s="13">
        <f t="shared" si="123"/>
        <v>60.863133272741258</v>
      </c>
      <c r="J374" s="33">
        <f t="shared" si="124"/>
        <v>171.02540449640296</v>
      </c>
      <c r="K374" s="15">
        <f t="shared" si="125"/>
        <v>50.249989036569296</v>
      </c>
      <c r="L374" s="14">
        <f t="shared" si="126"/>
        <v>141.20246919275974</v>
      </c>
    </row>
    <row r="375" spans="1:12">
      <c r="A375" s="28">
        <f t="shared" si="127"/>
        <v>11</v>
      </c>
      <c r="B375" s="13">
        <f>(VLOOKUP(E$14,'Aging Factor'!$A$145:$G$242,5,1)*(SQRT(A375+K$14-L$14)*Calibration!$B$49)-((0.32989795*(A375+K$14-L$14)-1.302)))</f>
        <v>20.344826656295115</v>
      </c>
      <c r="C375" s="13">
        <f>A375*$B$50*(VLOOKUP(E$14,'Aging Factor'!$A$145:$G$242,5,1)*(G$14/L$14/12500)*('Degradation Model'!$B$26/F$14))</f>
        <v>13.35158333862096</v>
      </c>
      <c r="D375" s="13">
        <f>D374+(C365*100/I374)</f>
        <v>17.748796739509967</v>
      </c>
      <c r="E375" s="13">
        <f>((VLOOKUP(E$14,'Aging Factor'!$A$145:$H$242,8,1)-1)*F375*J$14/7)</f>
        <v>4.0365111022537894</v>
      </c>
      <c r="F375" s="13">
        <f t="shared" si="121"/>
        <v>38.093623395805082</v>
      </c>
      <c r="G375" s="13">
        <f t="shared" si="122"/>
        <v>42.130134498058872</v>
      </c>
      <c r="H375" s="13">
        <f t="shared" si="128"/>
        <v>2.9932677708001307</v>
      </c>
      <c r="I375" s="13">
        <f t="shared" si="123"/>
        <v>57.869865501941128</v>
      </c>
      <c r="J375" s="14">
        <f t="shared" si="124"/>
        <v>162.61432206045455</v>
      </c>
      <c r="K375" s="15">
        <f t="shared" si="125"/>
        <v>47.77867899092648</v>
      </c>
      <c r="L375" s="14">
        <f t="shared" si="126"/>
        <v>134.2580879645034</v>
      </c>
    </row>
    <row r="376" spans="1:12">
      <c r="A376" s="28">
        <f t="shared" si="127"/>
        <v>12</v>
      </c>
      <c r="B376" s="13">
        <f>(VLOOKUP(E$14,'Aging Factor'!$A$145:$G$242,5,1)*(SQRT(A376+K$14-L$14)*Calibration!$B$49)-((0.32989795*(A376+K$14-L$14)-1.302)))</f>
        <v>21.011291431704926</v>
      </c>
      <c r="C376" s="13">
        <f>A376*$B$50*(VLOOKUP(E$14,'Aging Factor'!$A$145:$G$242,5,1)*(G$14/L$14/12500)*('Degradation Model'!$B$26/F$14))</f>
        <v>14.565363642131956</v>
      </c>
      <c r="D376" s="13">
        <f>D375+(C365*100/I375)</f>
        <v>19.846227402227306</v>
      </c>
      <c r="E376" s="13">
        <f>((VLOOKUP(E$14,'Aging Factor'!$A$145:$H$242,8,1)-1)*F376*J$14/7)</f>
        <v>4.329381499631042</v>
      </c>
      <c r="F376" s="13">
        <f t="shared" si="121"/>
        <v>40.857518833932232</v>
      </c>
      <c r="G376" s="13">
        <f t="shared" si="122"/>
        <v>45.186900333563273</v>
      </c>
      <c r="H376" s="13">
        <f t="shared" si="128"/>
        <v>3.0567658355044003</v>
      </c>
      <c r="I376" s="13">
        <f t="shared" si="123"/>
        <v>54.813099666436727</v>
      </c>
      <c r="J376" s="14">
        <f t="shared" si="124"/>
        <v>154.02481006268721</v>
      </c>
      <c r="K376" s="15">
        <f t="shared" si="125"/>
        <v>45.254943496844561</v>
      </c>
      <c r="L376" s="14">
        <f t="shared" si="126"/>
        <v>127.1663912261332</v>
      </c>
    </row>
    <row r="377" spans="1:12">
      <c r="A377" s="28">
        <f t="shared" si="127"/>
        <v>13</v>
      </c>
      <c r="B377" s="13">
        <f>(VLOOKUP(E$14,'Aging Factor'!$A$145:$G$242,5,1)*(SQRT(A377+K$14-L$14)*Calibration!$B$49)-((0.32989795*(A377+K$14-L$14)-1.302)))</f>
        <v>21.637559073696263</v>
      </c>
      <c r="C377" s="13">
        <f>A377*$B$50*(VLOOKUP(E$14,'Aging Factor'!$A$145:$G$242,5,1)*(G$14/L$14/12500)*('Degradation Model'!$B$26/F$14))</f>
        <v>15.779143945642954</v>
      </c>
      <c r="D377" s="13">
        <f>D376+(C365*100/I376)</f>
        <v>22.060625622538538</v>
      </c>
      <c r="E377" s="13">
        <f>((VLOOKUP(E$14,'Aging Factor'!$A$145:$H$242,8,1)-1)*F377*J$14/7)</f>
        <v>4.630386714384132</v>
      </c>
      <c r="F377" s="13">
        <f t="shared" si="121"/>
        <v>43.698184696234804</v>
      </c>
      <c r="G377" s="13">
        <f t="shared" si="122"/>
        <v>48.328571410618935</v>
      </c>
      <c r="H377" s="13">
        <f t="shared" si="128"/>
        <v>3.141671077055662</v>
      </c>
      <c r="I377" s="13">
        <f t="shared" si="123"/>
        <v>51.671428589381065</v>
      </c>
      <c r="J377" s="14">
        <f t="shared" si="124"/>
        <v>145.1967143361608</v>
      </c>
      <c r="K377" s="15">
        <f t="shared" si="125"/>
        <v>42.66110830155305</v>
      </c>
      <c r="L377" s="14">
        <f t="shared" si="126"/>
        <v>119.87771432736406</v>
      </c>
    </row>
    <row r="378" spans="1:12">
      <c r="A378" s="28">
        <f t="shared" si="127"/>
        <v>14</v>
      </c>
      <c r="B378" s="13">
        <f>(VLOOKUP(E$14,'Aging Factor'!$A$145:$G$242,5,1)*(SQRT(A378+K$14-L$14)*Calibration!$B$49)-((0.32989795*(A378+K$14-L$14)-1.302)))</f>
        <v>22.228134599200182</v>
      </c>
      <c r="C378" s="13">
        <f>A378*$B$50*(VLOOKUP(E$14,'Aging Factor'!$A$145:$G$242,5,1)*(G$14/L$14/12500)*('Degradation Model'!$B$26/F$14))</f>
        <v>16.992924249153951</v>
      </c>
      <c r="D378" s="13">
        <f>D377+(C365*100/I377)</f>
        <v>24.409661321080147</v>
      </c>
      <c r="E378" s="13">
        <f>((VLOOKUP(E$14,'Aging Factor'!$A$145:$H$242,8,1)-1)*F378*J$14/7)</f>
        <v>4.9418764673771829</v>
      </c>
      <c r="F378" s="13">
        <f t="shared" si="121"/>
        <v>46.637795920280325</v>
      </c>
      <c r="G378" s="13">
        <f t="shared" si="122"/>
        <v>51.57967238765751</v>
      </c>
      <c r="H378" s="13">
        <f t="shared" si="128"/>
        <v>3.2511009770385755</v>
      </c>
      <c r="I378" s="13">
        <f t="shared" si="123"/>
        <v>48.42032761234249</v>
      </c>
      <c r="J378" s="14">
        <f t="shared" si="124"/>
        <v>136.06112059068241</v>
      </c>
      <c r="K378" s="15">
        <f t="shared" si="125"/>
        <v>39.97692528848205</v>
      </c>
      <c r="L378" s="14">
        <f t="shared" si="126"/>
        <v>112.33516006063456</v>
      </c>
    </row>
    <row r="379" spans="1:12">
      <c r="A379" s="28">
        <f t="shared" si="127"/>
        <v>15</v>
      </c>
      <c r="B379" s="13">
        <f>(VLOOKUP(E$14,'Aging Factor'!$A$145:$G$242,5,1)*(SQRT(A379+K$14-L$14)*Calibration!$B$49)-((0.32989795*(A379+K$14-L$14)-1.302)))</f>
        <v>22.786739568208731</v>
      </c>
      <c r="C379" s="13">
        <f>A379*$B$50*(VLOOKUP(E$14,'Aging Factor'!$A$145:$G$242,5,1)*(G$14/L$14/12500)*('Degradation Model'!$B$26/F$14))</f>
        <v>18.206704552664945</v>
      </c>
      <c r="D379" s="13">
        <f>D378+(C365*100/I378)</f>
        <v>26.916419047357074</v>
      </c>
      <c r="E379" s="13">
        <f>((VLOOKUP(E$14,'Aging Factor'!$A$145:$H$242,8,1)-1)*F379*J$14/7)</f>
        <v>5.2666912119183129</v>
      </c>
      <c r="F379" s="13">
        <f t="shared" si="121"/>
        <v>49.703158615565805</v>
      </c>
      <c r="G379" s="13">
        <f t="shared" si="122"/>
        <v>54.969849827484119</v>
      </c>
      <c r="H379" s="13">
        <f t="shared" si="128"/>
        <v>3.3901774398266085</v>
      </c>
      <c r="I379" s="13">
        <f t="shared" si="123"/>
        <v>45.030150172515881</v>
      </c>
      <c r="J379" s="14">
        <f t="shared" si="124"/>
        <v>126.53472198476962</v>
      </c>
      <c r="K379" s="15">
        <f t="shared" si="125"/>
        <v>37.177917580155459</v>
      </c>
      <c r="L379" s="14">
        <f t="shared" si="126"/>
        <v>104.46994840023685</v>
      </c>
    </row>
    <row r="382" spans="1:12">
      <c r="A382" s="7" t="s">
        <v>144</v>
      </c>
    </row>
    <row r="384" spans="1:12">
      <c r="A384" s="29"/>
      <c r="B384" s="29" t="s">
        <v>54</v>
      </c>
      <c r="C384" s="29" t="s">
        <v>54</v>
      </c>
      <c r="D384" s="29" t="s">
        <v>2</v>
      </c>
      <c r="E384" s="29" t="s">
        <v>3</v>
      </c>
      <c r="F384" s="29" t="s">
        <v>4</v>
      </c>
      <c r="G384" s="29" t="s">
        <v>54</v>
      </c>
      <c r="H384" s="29" t="s">
        <v>55</v>
      </c>
      <c r="I384" s="29" t="s">
        <v>6</v>
      </c>
      <c r="J384" s="29" t="s">
        <v>7</v>
      </c>
      <c r="K384" s="29" t="s">
        <v>8</v>
      </c>
      <c r="L384" s="29" t="s">
        <v>8</v>
      </c>
    </row>
    <row r="385" spans="1:12">
      <c r="A385" s="29" t="s">
        <v>56</v>
      </c>
      <c r="B385" s="29" t="s">
        <v>9</v>
      </c>
      <c r="C385" s="29" t="s">
        <v>10</v>
      </c>
      <c r="D385" s="29" t="s">
        <v>10</v>
      </c>
      <c r="E385" s="29" t="s">
        <v>11</v>
      </c>
      <c r="F385" s="29" t="s">
        <v>10</v>
      </c>
      <c r="G385" s="29" t="s">
        <v>12</v>
      </c>
      <c r="H385" s="29" t="s">
        <v>57</v>
      </c>
      <c r="I385" s="29" t="s">
        <v>52</v>
      </c>
      <c r="J385" s="29" t="s">
        <v>14</v>
      </c>
      <c r="K385" s="29" t="s">
        <v>15</v>
      </c>
      <c r="L385" s="29" t="s">
        <v>14</v>
      </c>
    </row>
    <row r="386" spans="1:12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</row>
    <row r="387" spans="1:12">
      <c r="A387" s="32">
        <v>1</v>
      </c>
      <c r="B387" s="13">
        <f>(VLOOKUP(E$15,'Aging Factor'!$A$145:$G$242,5,1)*(SQRT(A387+K$15-L$15)*Calibration!$B$49)-((0.32989795*(A387+K$15-L$15)-1.302)))</f>
        <v>6.6005884554034315</v>
      </c>
      <c r="C387" s="13">
        <f>A387*$B$50*(VLOOKUP(E$15,'Aging Factor'!$A$145:$G$242,5,1)*(G$15/L$15/12500)*('Degradation Model'!$B$26/F$15))</f>
        <v>2.7321032438860766</v>
      </c>
      <c r="D387" s="13">
        <f>C387</f>
        <v>2.7321032438860766</v>
      </c>
      <c r="E387" s="13">
        <f>((VLOOKUP(E$15,'Aging Factor'!$A$145:$H$242,8,1)-1)*F387*J$15/7)</f>
        <v>0.88568626037504294</v>
      </c>
      <c r="F387" s="13">
        <f t="shared" ref="F387:F401" si="129">B387+D387</f>
        <v>9.3326916992895086</v>
      </c>
      <c r="G387" s="13">
        <f t="shared" ref="G387:G401" si="130">F387+E387</f>
        <v>10.218377959664551</v>
      </c>
      <c r="H387" s="13">
        <f>G387</f>
        <v>10.218377959664551</v>
      </c>
      <c r="I387" s="13">
        <f t="shared" ref="I387:I401" si="131">IF(100-G387&lt;=5,5,100-G387)</f>
        <v>89.781622040335449</v>
      </c>
      <c r="J387" s="33">
        <f t="shared" ref="J387:J401" si="132">IF(281*I387/100&gt;0,281*I387/100,0)</f>
        <v>252.28635793334263</v>
      </c>
      <c r="K387" s="15">
        <f t="shared" ref="K387:K401" si="133">IF(L387/281*100&gt;0,L387/281*100,0)</f>
        <v>74.125752004832123</v>
      </c>
      <c r="L387" s="14">
        <f t="shared" ref="L387:L401" si="134">IF(I387*232/100&gt;0,I387*232/100,0)</f>
        <v>208.29336313357825</v>
      </c>
    </row>
    <row r="388" spans="1:12">
      <c r="A388" s="28">
        <f t="shared" ref="A388:A401" si="135">A387+1</f>
        <v>2</v>
      </c>
      <c r="B388" s="13">
        <f>(VLOOKUP(E$15,'Aging Factor'!$A$145:$G$242,5,1)*(SQRT(A388+K$15-L$15)*Calibration!$B$49)-((0.32989795*(A388+K$15-L$15)-1.302)))</f>
        <v>8.3673048089057893</v>
      </c>
      <c r="C388" s="13">
        <f>A388*$B$50*(VLOOKUP(E$15,'Aging Factor'!$A$145:$G$242,5,1)*(G$15/L$15/12500)*('Degradation Model'!$B$26/F$15))</f>
        <v>5.4642064877721532</v>
      </c>
      <c r="D388" s="13">
        <f>D387+(C387*100/I387)</f>
        <v>5.7751572473642572</v>
      </c>
      <c r="E388" s="13">
        <f>((VLOOKUP(E$15,'Aging Factor'!$A$145:$H$242,8,1)-1)*F388*J$15/7)</f>
        <v>1.3421405886650406</v>
      </c>
      <c r="F388" s="13">
        <f t="shared" si="129"/>
        <v>14.142462056270046</v>
      </c>
      <c r="G388" s="13">
        <f t="shared" si="130"/>
        <v>15.484602644935087</v>
      </c>
      <c r="H388" s="13">
        <f t="shared" ref="H388:H401" si="136">G388-G387</f>
        <v>5.2662246852705366</v>
      </c>
      <c r="I388" s="13">
        <f t="shared" si="131"/>
        <v>84.51539735506492</v>
      </c>
      <c r="J388" s="14">
        <f t="shared" si="132"/>
        <v>237.48826656773244</v>
      </c>
      <c r="K388" s="15">
        <f t="shared" si="133"/>
        <v>69.777836962188829</v>
      </c>
      <c r="L388" s="14">
        <f t="shared" si="134"/>
        <v>196.07572186375063</v>
      </c>
    </row>
    <row r="389" spans="1:12">
      <c r="A389" s="28">
        <f t="shared" si="135"/>
        <v>3</v>
      </c>
      <c r="B389" s="13">
        <f>(VLOOKUP(E$15,'Aging Factor'!$A$145:$G$242,5,1)*(SQRT(A389+K$15-L$15)*Calibration!$B$49)-((0.32989795*(A389+K$15-L$15)-1.302)))</f>
        <v>9.6780609090923342</v>
      </c>
      <c r="C389" s="13">
        <f>A389*$B$50*(VLOOKUP(E$15,'Aging Factor'!$A$145:$G$242,5,1)*(G$15/L$15/12500)*('Degradation Model'!$B$26/F$15))</f>
        <v>8.1963097316582303</v>
      </c>
      <c r="D389" s="13">
        <f>D388+(C387*100/I388)</f>
        <v>9.0078264761534239</v>
      </c>
      <c r="E389" s="13">
        <f>((VLOOKUP(E$15,'Aging Factor'!$A$145:$H$242,8,1)-1)*F389*J$15/7)</f>
        <v>1.7733183794432459</v>
      </c>
      <c r="F389" s="13">
        <f t="shared" si="129"/>
        <v>18.685887385245756</v>
      </c>
      <c r="G389" s="13">
        <f t="shared" si="130"/>
        <v>20.459205764689003</v>
      </c>
      <c r="H389" s="13">
        <f t="shared" si="136"/>
        <v>4.9746031197539153</v>
      </c>
      <c r="I389" s="13">
        <f t="shared" si="131"/>
        <v>79.540794235310997</v>
      </c>
      <c r="J389" s="14">
        <f t="shared" si="132"/>
        <v>223.50963180122392</v>
      </c>
      <c r="K389" s="15">
        <f t="shared" si="133"/>
        <v>65.670691325950713</v>
      </c>
      <c r="L389" s="14">
        <f t="shared" si="134"/>
        <v>184.53464262592152</v>
      </c>
    </row>
    <row r="390" spans="1:12">
      <c r="A390" s="28">
        <f t="shared" si="135"/>
        <v>4</v>
      </c>
      <c r="B390" s="13">
        <f>(VLOOKUP(E$15,'Aging Factor'!$A$145:$G$242,5,1)*(SQRT(A390+K$15-L$15)*Calibration!$B$49)-((0.32989795*(A390+K$15-L$15)-1.302)))</f>
        <v>10.742551877518652</v>
      </c>
      <c r="C390" s="13">
        <f>A390*$B$50*(VLOOKUP(E$15,'Aging Factor'!$A$145:$G$242,5,1)*(G$15/L$15/12500)*('Degradation Model'!$B$26/F$15))</f>
        <v>10.928412975544306</v>
      </c>
      <c r="D390" s="13">
        <f>D389+(C387*100/I389)</f>
        <v>12.442671790626282</v>
      </c>
      <c r="E390" s="13">
        <f>((VLOOKUP(E$15,'Aging Factor'!$A$145:$H$242,8,1)-1)*F390*J$15/7)</f>
        <v>2.2003120544699368</v>
      </c>
      <c r="F390" s="13">
        <f t="shared" si="129"/>
        <v>23.185223668144936</v>
      </c>
      <c r="G390" s="13">
        <f t="shared" si="130"/>
        <v>25.385535722614872</v>
      </c>
      <c r="H390" s="13">
        <f t="shared" si="136"/>
        <v>4.9263299579258693</v>
      </c>
      <c r="I390" s="13">
        <f t="shared" si="131"/>
        <v>74.614464277385125</v>
      </c>
      <c r="J390" s="14">
        <f t="shared" si="132"/>
        <v>209.6666446194522</v>
      </c>
      <c r="K390" s="15">
        <f t="shared" si="133"/>
        <v>61.603401111577739</v>
      </c>
      <c r="L390" s="14">
        <f t="shared" si="134"/>
        <v>173.10555712353346</v>
      </c>
    </row>
    <row r="391" spans="1:12">
      <c r="A391" s="32">
        <f t="shared" si="135"/>
        <v>5</v>
      </c>
      <c r="B391" s="13">
        <f>(VLOOKUP(E$15,'Aging Factor'!$A$145:$G$242,5,1)*(SQRT(A391+K$15-L$15)*Calibration!$B$49)-((0.32989795*(A391+K$15-L$15)-1.302)))</f>
        <v>11.646637959179371</v>
      </c>
      <c r="C391" s="13">
        <f>A391*$B$50*(VLOOKUP(E$15,'Aging Factor'!$A$145:$G$242,5,1)*(G$15/L$15/12500)*('Degradation Model'!$B$26/F$15))</f>
        <v>13.660516219430383</v>
      </c>
      <c r="D391" s="13">
        <f>D390+(C387*100/I390)</f>
        <v>16.104298621758204</v>
      </c>
      <c r="E391" s="13">
        <f>((VLOOKUP(E$15,'Aging Factor'!$A$145:$H$242,8,1)-1)*F391*J$15/7)</f>
        <v>2.6336049699516741</v>
      </c>
      <c r="F391" s="13">
        <f t="shared" si="129"/>
        <v>27.750936580937577</v>
      </c>
      <c r="G391" s="13">
        <f t="shared" si="130"/>
        <v>30.384541550889249</v>
      </c>
      <c r="H391" s="13">
        <f t="shared" si="136"/>
        <v>4.9990058282743774</v>
      </c>
      <c r="I391" s="13">
        <f t="shared" si="131"/>
        <v>69.615458449110747</v>
      </c>
      <c r="J391" s="33">
        <f t="shared" si="132"/>
        <v>195.61943824200119</v>
      </c>
      <c r="K391" s="15">
        <f t="shared" si="133"/>
        <v>57.476108043393936</v>
      </c>
      <c r="L391" s="14">
        <f t="shared" si="134"/>
        <v>161.50786360193695</v>
      </c>
    </row>
    <row r="392" spans="1:12">
      <c r="A392" s="28">
        <f t="shared" si="135"/>
        <v>6</v>
      </c>
      <c r="B392" s="13">
        <f>(VLOOKUP(E$15,'Aging Factor'!$A$145:$G$242,5,1)*(SQRT(A392+K$15-L$15)*Calibration!$B$49)-((0.32989795*(A392+K$15-L$15)-1.302)))</f>
        <v>12.435519532099303</v>
      </c>
      <c r="C392" s="13">
        <f>A392*$B$50*(VLOOKUP(E$15,'Aging Factor'!$A$145:$G$242,5,1)*(G$15/L$15/12500)*('Degradation Model'!$B$26/F$15))</f>
        <v>16.392619463316461</v>
      </c>
      <c r="D392" s="13">
        <f>D391+(C387*100/I391)</f>
        <v>20.028862655022824</v>
      </c>
      <c r="E392" s="13">
        <f>((VLOOKUP(E$15,'Aging Factor'!$A$145:$H$242,8,1)-1)*F392*J$15/7)</f>
        <v>3.0809179367713733</v>
      </c>
      <c r="F392" s="13">
        <f t="shared" si="129"/>
        <v>32.464382187122126</v>
      </c>
      <c r="G392" s="13">
        <f t="shared" si="130"/>
        <v>35.545300123893497</v>
      </c>
      <c r="H392" s="13">
        <f t="shared" si="136"/>
        <v>5.160758573004248</v>
      </c>
      <c r="I392" s="13">
        <f t="shared" si="131"/>
        <v>64.454699876106503</v>
      </c>
      <c r="J392" s="14">
        <f t="shared" si="132"/>
        <v>181.11770665185927</v>
      </c>
      <c r="K392" s="15">
        <f t="shared" si="133"/>
        <v>53.215268225112844</v>
      </c>
      <c r="L392" s="14">
        <f t="shared" si="134"/>
        <v>149.53490371256709</v>
      </c>
    </row>
    <row r="393" spans="1:12">
      <c r="A393" s="28">
        <f t="shared" si="135"/>
        <v>7</v>
      </c>
      <c r="B393" s="13">
        <f>(VLOOKUP(E$15,'Aging Factor'!$A$145:$G$242,5,1)*(SQRT(A393+K$15-L$15)*Calibration!$B$49)-((0.32989795*(A393+K$15-L$15)-1.302)))</f>
        <v>13.136470498226505</v>
      </c>
      <c r="C393" s="13">
        <f>A393*$B$50*(VLOOKUP(E$15,'Aging Factor'!$A$145:$G$242,5,1)*(G$15/L$15/12500)*('Degradation Model'!$B$26/F$15))</f>
        <v>19.124722707202537</v>
      </c>
      <c r="D393" s="13">
        <f>D392+(C387*100/I392)</f>
        <v>24.267658660803114</v>
      </c>
      <c r="E393" s="13">
        <f>((VLOOKUP(E$15,'Aging Factor'!$A$145:$H$242,8,1)-1)*F393*J$15/7)</f>
        <v>3.5497072382631139</v>
      </c>
      <c r="F393" s="13">
        <f t="shared" si="129"/>
        <v>37.404129159029623</v>
      </c>
      <c r="G393" s="13">
        <f t="shared" si="130"/>
        <v>40.953836397292733</v>
      </c>
      <c r="H393" s="13">
        <f t="shared" si="136"/>
        <v>5.4085362733992355</v>
      </c>
      <c r="I393" s="13">
        <f t="shared" si="131"/>
        <v>59.046163602707267</v>
      </c>
      <c r="J393" s="14">
        <f t="shared" si="132"/>
        <v>165.91971972360741</v>
      </c>
      <c r="K393" s="15">
        <f t="shared" si="133"/>
        <v>48.749857494050133</v>
      </c>
      <c r="L393" s="14">
        <f t="shared" si="134"/>
        <v>136.98709955828087</v>
      </c>
    </row>
    <row r="394" spans="1:12">
      <c r="A394" s="28">
        <f t="shared" si="135"/>
        <v>8</v>
      </c>
      <c r="B394" s="13">
        <f>(VLOOKUP(E$15,'Aging Factor'!$A$145:$G$242,5,1)*(SQRT(A394+K$15-L$15)*Calibration!$B$49)-((0.32989795*(A394+K$15-L$15)-1.302)))</f>
        <v>13.767448709485437</v>
      </c>
      <c r="C394" s="13">
        <f>A394*$B$50*(VLOOKUP(E$15,'Aging Factor'!$A$145:$G$242,5,1)*(G$15/L$15/12500)*('Degradation Model'!$B$26/F$15))</f>
        <v>21.856825951088613</v>
      </c>
      <c r="D394" s="13">
        <f>D393+(C387*100/I393)</f>
        <v>28.894721753790936</v>
      </c>
      <c r="E394" s="13">
        <f>((VLOOKUP(E$15,'Aging Factor'!$A$145:$H$242,8,1)-1)*F394*J$15/7)</f>
        <v>4.0487031431648424</v>
      </c>
      <c r="F394" s="13">
        <f t="shared" si="129"/>
        <v>42.662170463276375</v>
      </c>
      <c r="G394" s="13">
        <f t="shared" si="130"/>
        <v>46.710873606441218</v>
      </c>
      <c r="H394" s="13">
        <f t="shared" si="136"/>
        <v>5.7570372091484856</v>
      </c>
      <c r="I394" s="13">
        <f t="shared" si="131"/>
        <v>53.289126393558782</v>
      </c>
      <c r="J394" s="14">
        <f t="shared" si="132"/>
        <v>149.74244516590016</v>
      </c>
      <c r="K394" s="15">
        <f t="shared" si="133"/>
        <v>43.996716453044968</v>
      </c>
      <c r="L394" s="14">
        <f t="shared" si="134"/>
        <v>123.63077323305637</v>
      </c>
    </row>
    <row r="395" spans="1:12">
      <c r="A395" s="28">
        <f t="shared" si="135"/>
        <v>9</v>
      </c>
      <c r="B395" s="13">
        <f>(VLOOKUP(E$15,'Aging Factor'!$A$145:$G$242,5,1)*(SQRT(A395+K$15-L$15)*Calibration!$B$49)-((0.32989795*(A395+K$15-L$15)-1.302)))</f>
        <v>14.341022408829355</v>
      </c>
      <c r="C395" s="13">
        <f>A395*$B$50*(VLOOKUP(E$15,'Aging Factor'!$A$145:$G$242,5,1)*(G$15/L$15/12500)*('Degradation Model'!$B$26/F$15))</f>
        <v>24.588929194974689</v>
      </c>
      <c r="D395" s="13">
        <f>D394+(C387*100/I394)</f>
        <v>34.021664957379116</v>
      </c>
      <c r="E395" s="13">
        <f>((VLOOKUP(E$15,'Aging Factor'!$A$145:$H$242,8,1)-1)*F395*J$15/7)</f>
        <v>4.589690637517303</v>
      </c>
      <c r="F395" s="13">
        <f t="shared" si="129"/>
        <v>48.362687366208469</v>
      </c>
      <c r="G395" s="13">
        <f t="shared" si="130"/>
        <v>52.952378003725769</v>
      </c>
      <c r="H395" s="13">
        <f t="shared" si="136"/>
        <v>6.241504397284551</v>
      </c>
      <c r="I395" s="13">
        <f t="shared" si="131"/>
        <v>47.047621996274231</v>
      </c>
      <c r="J395" s="14">
        <f t="shared" si="132"/>
        <v>132.20381780953059</v>
      </c>
      <c r="K395" s="15">
        <f t="shared" si="133"/>
        <v>38.843588267386551</v>
      </c>
      <c r="L395" s="14">
        <f t="shared" si="134"/>
        <v>109.15048303135622</v>
      </c>
    </row>
    <row r="396" spans="1:12">
      <c r="A396" s="32">
        <f t="shared" si="135"/>
        <v>10</v>
      </c>
      <c r="B396" s="13">
        <f>(VLOOKUP(E$15,'Aging Factor'!$A$145:$G$242,5,1)*(SQRT(A396+K$15-L$15)*Calibration!$B$49)-((0.32989795*(A396+K$15-L$15)-1.302)))</f>
        <v>14.866394964653797</v>
      </c>
      <c r="C396" s="13">
        <f>A396*$B$50*(VLOOKUP(E$15,'Aging Factor'!$A$145:$G$242,5,1)*(G$15/L$15/12500)*('Degradation Model'!$B$26/F$15))</f>
        <v>27.321032438860765</v>
      </c>
      <c r="D396" s="13">
        <f>D395+(C387*100/I395)</f>
        <v>39.828766630025683</v>
      </c>
      <c r="E396" s="13">
        <f>((VLOOKUP(E$15,'Aging Factor'!$A$145:$H$242,8,1)-1)*F396*J$15/7)</f>
        <v>5.1906518177481695</v>
      </c>
      <c r="F396" s="13">
        <f t="shared" si="129"/>
        <v>54.695161594679476</v>
      </c>
      <c r="G396" s="13">
        <f t="shared" si="130"/>
        <v>59.885813412427645</v>
      </c>
      <c r="H396" s="13">
        <f t="shared" si="136"/>
        <v>6.9334354087018752</v>
      </c>
      <c r="I396" s="13">
        <f t="shared" si="131"/>
        <v>40.114186587572355</v>
      </c>
      <c r="J396" s="33">
        <f t="shared" si="132"/>
        <v>112.72086431107832</v>
      </c>
      <c r="K396" s="15">
        <f t="shared" si="133"/>
        <v>33.119186079419173</v>
      </c>
      <c r="L396" s="14">
        <f t="shared" si="134"/>
        <v>93.064912883167878</v>
      </c>
    </row>
    <row r="397" spans="1:12">
      <c r="A397" s="28">
        <f t="shared" si="135"/>
        <v>11</v>
      </c>
      <c r="B397" s="13">
        <f>(VLOOKUP(E$15,'Aging Factor'!$A$145:$G$242,5,1)*(SQRT(A397+K$15-L$15)*Calibration!$B$49)-((0.32989795*(A397+K$15-L$15)-1.302)))</f>
        <v>15.350545414272876</v>
      </c>
      <c r="C397" s="13">
        <f>A397*$B$50*(VLOOKUP(E$15,'Aging Factor'!$A$145:$G$242,5,1)*(G$15/L$15/12500)*('Degradation Model'!$B$26/F$15))</f>
        <v>30.053135682746841</v>
      </c>
      <c r="D397" s="13">
        <f>D396+(C387*100/I396)</f>
        <v>46.639582145184356</v>
      </c>
      <c r="E397" s="13">
        <f>((VLOOKUP(E$15,'Aging Factor'!$A$145:$H$242,8,1)-1)*F397*J$15/7)</f>
        <v>5.8829548888331278</v>
      </c>
      <c r="F397" s="13">
        <f t="shared" si="129"/>
        <v>61.990127559457235</v>
      </c>
      <c r="G397" s="13">
        <f t="shared" si="130"/>
        <v>67.873082448290361</v>
      </c>
      <c r="H397" s="13">
        <f t="shared" si="136"/>
        <v>7.9872690358627167</v>
      </c>
      <c r="I397" s="13">
        <f t="shared" si="131"/>
        <v>32.126917551709639</v>
      </c>
      <c r="J397" s="14">
        <f t="shared" si="132"/>
        <v>90.276638320304087</v>
      </c>
      <c r="K397" s="15">
        <f t="shared" si="133"/>
        <v>26.524714846963121</v>
      </c>
      <c r="L397" s="14">
        <f t="shared" si="134"/>
        <v>74.534448719966363</v>
      </c>
    </row>
    <row r="398" spans="1:12">
      <c r="A398" s="28">
        <f t="shared" si="135"/>
        <v>12</v>
      </c>
      <c r="B398" s="13">
        <f>(VLOOKUP(E$15,'Aging Factor'!$A$145:$G$242,5,1)*(SQRT(A398+K$15-L$15)*Calibration!$B$49)-((0.32989795*(A398+K$15-L$15)-1.302)))</f>
        <v>15.798915408317367</v>
      </c>
      <c r="C398" s="13">
        <f>A398*$B$50*(VLOOKUP(E$15,'Aging Factor'!$A$145:$G$242,5,1)*(G$15/L$15/12500)*('Degradation Model'!$B$26/F$15))</f>
        <v>32.785238926632921</v>
      </c>
      <c r="D398" s="13">
        <f>D397+(C387*100/I397)</f>
        <v>55.143676070437657</v>
      </c>
      <c r="E398" s="13">
        <f>((VLOOKUP(E$15,'Aging Factor'!$A$145:$H$242,8,1)-1)*F398*J$15/7)</f>
        <v>6.7325569699164438</v>
      </c>
      <c r="F398" s="13">
        <f t="shared" si="129"/>
        <v>70.94259147875502</v>
      </c>
      <c r="G398" s="13">
        <f t="shared" si="130"/>
        <v>77.675148448671465</v>
      </c>
      <c r="H398" s="13">
        <f t="shared" si="136"/>
        <v>9.8020660003811031</v>
      </c>
      <c r="I398" s="13">
        <f t="shared" si="131"/>
        <v>22.324851551328535</v>
      </c>
      <c r="J398" s="14">
        <f t="shared" si="132"/>
        <v>62.732832859233184</v>
      </c>
      <c r="K398" s="15">
        <f t="shared" si="133"/>
        <v>18.431905907146689</v>
      </c>
      <c r="L398" s="14">
        <f t="shared" si="134"/>
        <v>51.7936555990822</v>
      </c>
    </row>
    <row r="399" spans="1:12">
      <c r="A399" s="28">
        <f t="shared" si="135"/>
        <v>13</v>
      </c>
      <c r="B399" s="13">
        <f>(VLOOKUP(E$15,'Aging Factor'!$A$145:$G$242,5,1)*(SQRT(A399+K$15-L$15)*Calibration!$B$49)-((0.32989795*(A399+K$15-L$15)-1.302)))</f>
        <v>16.215845302995078</v>
      </c>
      <c r="C399" s="13">
        <f>A399*$B$50*(VLOOKUP(E$15,'Aging Factor'!$A$145:$G$242,5,1)*(G$15/L$15/12500)*('Degradation Model'!$B$26/F$15))</f>
        <v>35.517342170518994</v>
      </c>
      <c r="D399" s="13">
        <f>D398+(C387*100/I398)</f>
        <v>67.381621920176087</v>
      </c>
      <c r="E399" s="13">
        <f>((VLOOKUP(E$15,'Aging Factor'!$A$145:$H$242,8,1)-1)*F399*J$15/7)</f>
        <v>7.9335234150456717</v>
      </c>
      <c r="F399" s="13">
        <f t="shared" si="129"/>
        <v>83.597467223171165</v>
      </c>
      <c r="G399" s="13">
        <f t="shared" si="130"/>
        <v>91.530990638216835</v>
      </c>
      <c r="H399" s="13">
        <f t="shared" si="136"/>
        <v>13.855842189545371</v>
      </c>
      <c r="I399" s="13">
        <f t="shared" si="131"/>
        <v>8.469009361783165</v>
      </c>
      <c r="J399" s="14">
        <f t="shared" si="132"/>
        <v>23.797916306610695</v>
      </c>
      <c r="K399" s="15">
        <f t="shared" si="133"/>
        <v>6.9922070175576305</v>
      </c>
      <c r="L399" s="14">
        <f t="shared" si="134"/>
        <v>19.648101719336942</v>
      </c>
    </row>
    <row r="400" spans="1:12">
      <c r="A400" s="28">
        <f t="shared" si="135"/>
        <v>14</v>
      </c>
      <c r="B400" s="13">
        <f>(VLOOKUP(E$15,'Aging Factor'!$A$145:$G$242,5,1)*(SQRT(A400+K$15-L$15)*Calibration!$B$49)-((0.32989795*(A400+K$15-L$15)-1.302)))</f>
        <v>16.604863028933412</v>
      </c>
      <c r="C400" s="13">
        <f>A400*$B$50*(VLOOKUP(E$15,'Aging Factor'!$A$145:$G$242,5,1)*(G$15/L$15/12500)*('Degradation Model'!$B$26/F$15))</f>
        <v>38.249445414405074</v>
      </c>
      <c r="D400" s="13">
        <f>D399+(C387*100/I399)</f>
        <v>99.641631647108625</v>
      </c>
      <c r="E400" s="13">
        <f>((VLOOKUP(E$15,'Aging Factor'!$A$145:$H$242,8,1)-1)*F400*J$15/7)</f>
        <v>11.031964460924936</v>
      </c>
      <c r="F400" s="13">
        <f t="shared" si="129"/>
        <v>116.24649467604203</v>
      </c>
      <c r="G400" s="13">
        <f t="shared" si="130"/>
        <v>127.27845913696697</v>
      </c>
      <c r="H400" s="13">
        <f t="shared" si="136"/>
        <v>35.747468498750138</v>
      </c>
      <c r="I400" s="13">
        <f t="shared" si="131"/>
        <v>5</v>
      </c>
      <c r="J400" s="14">
        <f t="shared" si="132"/>
        <v>14.05</v>
      </c>
      <c r="K400" s="15">
        <f t="shared" si="133"/>
        <v>4.1281138790035588</v>
      </c>
      <c r="L400" s="14">
        <f t="shared" si="134"/>
        <v>11.6</v>
      </c>
    </row>
    <row r="401" spans="1:12">
      <c r="A401" s="28">
        <f t="shared" si="135"/>
        <v>15</v>
      </c>
      <c r="B401" s="13">
        <f>(VLOOKUP(E$15,'Aging Factor'!$A$145:$G$242,5,1)*(SQRT(A401+K$15-L$15)*Calibration!$B$49)-((0.32989795*(A401+K$15-L$15)-1.302)))</f>
        <v>16.968882278416363</v>
      </c>
      <c r="C401" s="13">
        <f>A401*$B$50*(VLOOKUP(E$15,'Aging Factor'!$A$145:$G$242,5,1)*(G$15/L$15/12500)*('Degradation Model'!$B$26/F$15))</f>
        <v>40.981548658291146</v>
      </c>
      <c r="D401" s="13">
        <f>D400+(C387*100/I400)</f>
        <v>154.28369652483016</v>
      </c>
      <c r="E401" s="13">
        <f>((VLOOKUP(E$15,'Aging Factor'!$A$145:$H$242,8,1)-1)*F401*J$15/7)</f>
        <v>16.252123287365936</v>
      </c>
      <c r="F401" s="13">
        <f t="shared" si="129"/>
        <v>171.25257880324654</v>
      </c>
      <c r="G401" s="13">
        <f t="shared" si="130"/>
        <v>187.50470209061248</v>
      </c>
      <c r="H401" s="13">
        <f t="shared" si="136"/>
        <v>60.22624295364551</v>
      </c>
      <c r="I401" s="13">
        <f t="shared" si="131"/>
        <v>5</v>
      </c>
      <c r="J401" s="14">
        <f t="shared" si="132"/>
        <v>14.05</v>
      </c>
      <c r="K401" s="15">
        <f t="shared" si="133"/>
        <v>4.1281138790035588</v>
      </c>
      <c r="L401" s="14">
        <f t="shared" si="134"/>
        <v>11.6</v>
      </c>
    </row>
    <row r="404" spans="1:12">
      <c r="A404" s="7" t="s">
        <v>98</v>
      </c>
    </row>
    <row r="406" spans="1:12">
      <c r="A406" s="29"/>
      <c r="B406" s="29" t="s">
        <v>54</v>
      </c>
      <c r="C406" s="29" t="s">
        <v>54</v>
      </c>
      <c r="D406" s="29" t="s">
        <v>2</v>
      </c>
      <c r="E406" s="29" t="s">
        <v>3</v>
      </c>
      <c r="F406" s="29" t="s">
        <v>4</v>
      </c>
      <c r="G406" s="29" t="s">
        <v>54</v>
      </c>
      <c r="H406" s="29" t="s">
        <v>55</v>
      </c>
      <c r="I406" s="29" t="s">
        <v>6</v>
      </c>
      <c r="J406" s="29" t="s">
        <v>7</v>
      </c>
      <c r="K406" s="29" t="s">
        <v>8</v>
      </c>
      <c r="L406" s="29" t="s">
        <v>8</v>
      </c>
    </row>
    <row r="407" spans="1:12">
      <c r="A407" s="29" t="s">
        <v>56</v>
      </c>
      <c r="B407" s="29" t="s">
        <v>9</v>
      </c>
      <c r="C407" s="29" t="s">
        <v>10</v>
      </c>
      <c r="D407" s="29" t="s">
        <v>10</v>
      </c>
      <c r="E407" s="29" t="s">
        <v>11</v>
      </c>
      <c r="F407" s="29" t="s">
        <v>10</v>
      </c>
      <c r="G407" s="29" t="s">
        <v>12</v>
      </c>
      <c r="H407" s="29" t="s">
        <v>57</v>
      </c>
      <c r="I407" s="29" t="s">
        <v>52</v>
      </c>
      <c r="J407" s="29" t="s">
        <v>14</v>
      </c>
      <c r="K407" s="29" t="s">
        <v>15</v>
      </c>
      <c r="L407" s="29" t="s">
        <v>14</v>
      </c>
    </row>
    <row r="408" spans="1:12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</row>
    <row r="409" spans="1:12">
      <c r="A409" s="32">
        <v>1</v>
      </c>
      <c r="B409" s="13">
        <f>(VLOOKUP(E$16,'Aging Factor'!$A$145:$G$242,5,1)*(SQRT(A409+K$16-L$16)*Calibration!$B$49)-((0.32989795*(A409+K$16-L$16)-1.302)))</f>
        <v>8.1961677019740211</v>
      </c>
      <c r="C409" s="13">
        <f>A409*$B$50*(VLOOKUP(E$16,'Aging Factor'!$A$145:$G$242,5,1)*(G$16/L$16/12500)*('Degradation Model'!$B$26/F$16))</f>
        <v>3.607672751331759</v>
      </c>
      <c r="D409" s="13">
        <f>C409</f>
        <v>3.607672751331759</v>
      </c>
      <c r="E409" s="13">
        <f>((VLOOKUP(E$16,'Aging Factor'!$A$145:$H$242,8,1)-1)*F409*J$16/7)</f>
        <v>0.78173078575284694</v>
      </c>
      <c r="F409" s="13">
        <f t="shared" ref="F409:F423" si="137">B409+D409</f>
        <v>11.80384045330578</v>
      </c>
      <c r="G409" s="13">
        <f t="shared" ref="G409:G423" si="138">F409+E409</f>
        <v>12.585571239058627</v>
      </c>
      <c r="H409" s="13">
        <f>G409</f>
        <v>12.585571239058627</v>
      </c>
      <c r="I409" s="13">
        <f t="shared" ref="I409:I423" si="139">IF(100-G409&lt;=5,5,100-G409)</f>
        <v>87.414428760941377</v>
      </c>
      <c r="J409" s="33">
        <f t="shared" ref="J409:J423" si="140">IF(281*I409/100&gt;0,281*I409/100,0)</f>
        <v>245.63454481824527</v>
      </c>
      <c r="K409" s="15">
        <f t="shared" ref="K409:K423" si="141">IF(L409/281*100&gt;0,L409/281*100,0)</f>
        <v>72.171343318641988</v>
      </c>
      <c r="L409" s="14">
        <f t="shared" ref="L409:L423" si="142">IF(I409*232/100&gt;0,I409*232/100,0)</f>
        <v>202.801474725384</v>
      </c>
    </row>
    <row r="410" spans="1:12">
      <c r="A410" s="28">
        <f t="shared" ref="A410:A423" si="143">A409+1</f>
        <v>2</v>
      </c>
      <c r="B410" s="13">
        <f>(VLOOKUP(E$16,'Aging Factor'!$A$145:$G$242,5,1)*(SQRT(A410+K$16-L$16)*Calibration!$B$49)-((0.32989795*(A410+K$16-L$16)-1.302)))</f>
        <v>10.552316313241908</v>
      </c>
      <c r="C410" s="13">
        <f>A410*$B$50*(VLOOKUP(E$16,'Aging Factor'!$A$145:$G$242,5,1)*(G$16/L$16/12500)*('Degradation Model'!$B$26/F$16))</f>
        <v>7.215345502663518</v>
      </c>
      <c r="D410" s="13">
        <f>D409+(C409*100/I409)</f>
        <v>7.7347634415860256</v>
      </c>
      <c r="E410" s="13">
        <f>((VLOOKUP(E$16,'Aging Factor'!$A$145:$H$242,8,1)-1)*F410*J$16/7)</f>
        <v>1.2110950908238518</v>
      </c>
      <c r="F410" s="13">
        <f t="shared" si="137"/>
        <v>18.287079754827936</v>
      </c>
      <c r="G410" s="13">
        <f t="shared" si="138"/>
        <v>19.498174845651789</v>
      </c>
      <c r="H410" s="13">
        <f t="shared" ref="H410:H423" si="144">G410-G409</f>
        <v>6.9126036065931622</v>
      </c>
      <c r="I410" s="13">
        <f t="shared" si="139"/>
        <v>80.501825154348211</v>
      </c>
      <c r="J410" s="14">
        <f t="shared" si="140"/>
        <v>226.21012868371847</v>
      </c>
      <c r="K410" s="15">
        <f t="shared" si="141"/>
        <v>66.464140340956533</v>
      </c>
      <c r="L410" s="14">
        <f t="shared" si="142"/>
        <v>186.76423435808786</v>
      </c>
    </row>
    <row r="411" spans="1:12">
      <c r="A411" s="28">
        <f t="shared" si="143"/>
        <v>3</v>
      </c>
      <c r="B411" s="13">
        <f>(VLOOKUP(E$16,'Aging Factor'!$A$145:$G$242,5,1)*(SQRT(A411+K$16-L$16)*Calibration!$B$49)-((0.32989795*(A411+K$16-L$16)-1.302)))</f>
        <v>12.324318155860983</v>
      </c>
      <c r="C411" s="13">
        <f>A411*$B$50*(VLOOKUP(E$16,'Aging Factor'!$A$145:$G$242,5,1)*(G$16/L$16/12500)*('Degradation Model'!$B$26/F$16))</f>
        <v>10.823018253995278</v>
      </c>
      <c r="D411" s="13">
        <f>D410+(C409*100/I410)</f>
        <v>12.216242891790634</v>
      </c>
      <c r="E411" s="13">
        <f>((VLOOKUP(E$16,'Aging Factor'!$A$145:$H$242,8,1)-1)*F411*J$16/7)</f>
        <v>1.6252432542176312</v>
      </c>
      <c r="F411" s="13">
        <f t="shared" si="137"/>
        <v>24.540561047651615</v>
      </c>
      <c r="G411" s="13">
        <f t="shared" si="138"/>
        <v>26.165804301869244</v>
      </c>
      <c r="H411" s="13">
        <f t="shared" si="144"/>
        <v>6.6676294562174547</v>
      </c>
      <c r="I411" s="13">
        <f t="shared" si="139"/>
        <v>73.834195698130756</v>
      </c>
      <c r="J411" s="14">
        <f t="shared" si="140"/>
        <v>207.47408991174743</v>
      </c>
      <c r="K411" s="15">
        <f t="shared" si="141"/>
        <v>60.959193601303681</v>
      </c>
      <c r="L411" s="14">
        <f t="shared" si="142"/>
        <v>171.29533401966336</v>
      </c>
    </row>
    <row r="412" spans="1:12">
      <c r="A412" s="28">
        <f t="shared" si="143"/>
        <v>4</v>
      </c>
      <c r="B412" s="13">
        <f>(VLOOKUP(E$16,'Aging Factor'!$A$145:$G$242,5,1)*(SQRT(A412+K$16-L$16)*Calibration!$B$49)-((0.32989795*(A412+K$16-L$16)-1.302)))</f>
        <v>13.780821048949981</v>
      </c>
      <c r="C412" s="13">
        <f>A412*$B$50*(VLOOKUP(E$16,'Aging Factor'!$A$145:$G$242,5,1)*(G$16/L$16/12500)*('Degradation Model'!$B$26/F$16))</f>
        <v>14.430691005327036</v>
      </c>
      <c r="D412" s="13">
        <f>D411+(C409*100/I411)</f>
        <v>17.102424311144937</v>
      </c>
      <c r="E412" s="13">
        <f>((VLOOKUP(E$16,'Aging Factor'!$A$145:$H$242,8,1)-1)*F412*J$16/7)</f>
        <v>2.0452990496990036</v>
      </c>
      <c r="F412" s="13">
        <f t="shared" si="137"/>
        <v>30.883245360094918</v>
      </c>
      <c r="G412" s="13">
        <f t="shared" si="138"/>
        <v>32.928544409793922</v>
      </c>
      <c r="H412" s="13">
        <f t="shared" si="144"/>
        <v>6.7627401079246781</v>
      </c>
      <c r="I412" s="13">
        <f t="shared" si="139"/>
        <v>67.071455590206085</v>
      </c>
      <c r="J412" s="14">
        <f t="shared" si="140"/>
        <v>188.47079020847909</v>
      </c>
      <c r="K412" s="15">
        <f t="shared" si="141"/>
        <v>55.375721341380114</v>
      </c>
      <c r="L412" s="14">
        <f t="shared" si="142"/>
        <v>155.60577696927811</v>
      </c>
    </row>
    <row r="413" spans="1:12">
      <c r="A413" s="32">
        <f t="shared" si="143"/>
        <v>5</v>
      </c>
      <c r="B413" s="13">
        <f>(VLOOKUP(E$16,'Aging Factor'!$A$145:$G$242,5,1)*(SQRT(A413+K$16-L$16)*Calibration!$B$49)-((0.32989795*(A413+K$16-L$16)-1.302)))</f>
        <v>15.031823581868979</v>
      </c>
      <c r="C413" s="13">
        <f>A413*$B$50*(VLOOKUP(E$16,'Aging Factor'!$A$145:$G$242,5,1)*(G$16/L$16/12500)*('Degradation Model'!$B$26/F$16))</f>
        <v>18.038363756658796</v>
      </c>
      <c r="D413" s="13">
        <f>D412+(C409*100/I412)</f>
        <v>22.48127395677356</v>
      </c>
      <c r="E413" s="13">
        <f>((VLOOKUP(E$16,'Aging Factor'!$A$145:$H$242,8,1)-1)*F413*J$16/7)</f>
        <v>2.4843730589982203</v>
      </c>
      <c r="F413" s="13">
        <f t="shared" si="137"/>
        <v>37.51309753864254</v>
      </c>
      <c r="G413" s="13">
        <f t="shared" si="138"/>
        <v>39.997470597640763</v>
      </c>
      <c r="H413" s="13">
        <f t="shared" si="144"/>
        <v>7.0689261878468415</v>
      </c>
      <c r="I413" s="13">
        <f t="shared" si="139"/>
        <v>60.002529402359237</v>
      </c>
      <c r="J413" s="33">
        <f t="shared" si="140"/>
        <v>168.60710762062948</v>
      </c>
      <c r="K413" s="15">
        <f t="shared" si="141"/>
        <v>49.539454880239653</v>
      </c>
      <c r="L413" s="14">
        <f t="shared" si="142"/>
        <v>139.20586821347342</v>
      </c>
    </row>
    <row r="414" spans="1:12">
      <c r="A414" s="28">
        <f t="shared" si="143"/>
        <v>6</v>
      </c>
      <c r="B414" s="13">
        <f>(VLOOKUP(E$16,'Aging Factor'!$A$145:$G$242,5,1)*(SQRT(A414+K$16-L$16)*Calibration!$B$49)-((0.32989795*(A414+K$16-L$16)-1.302)))</f>
        <v>16.135233553758116</v>
      </c>
      <c r="C414" s="13">
        <f>A414*$B$50*(VLOOKUP(E$16,'Aging Factor'!$A$145:$G$242,5,1)*(G$16/L$16/12500)*('Degradation Model'!$B$26/F$16))</f>
        <v>21.646036507990555</v>
      </c>
      <c r="D414" s="13">
        <f>D413+(C409*100/I413)</f>
        <v>28.493808407012768</v>
      </c>
      <c r="E414" s="13">
        <f>((VLOOKUP(E$16,'Aging Factor'!$A$145:$H$242,8,1)-1)*F414*J$16/7)</f>
        <v>2.9556394105292658</v>
      </c>
      <c r="F414" s="13">
        <f t="shared" si="137"/>
        <v>44.629041960770884</v>
      </c>
      <c r="G414" s="13">
        <f t="shared" si="138"/>
        <v>47.58468137130015</v>
      </c>
      <c r="H414" s="13">
        <f t="shared" si="144"/>
        <v>7.5872107736593861</v>
      </c>
      <c r="I414" s="13">
        <f t="shared" si="139"/>
        <v>52.41531862869985</v>
      </c>
      <c r="J414" s="14">
        <f t="shared" si="140"/>
        <v>147.28704534664658</v>
      </c>
      <c r="K414" s="15">
        <f t="shared" si="141"/>
        <v>43.275280860705919</v>
      </c>
      <c r="L414" s="14">
        <f t="shared" si="142"/>
        <v>121.60353921858365</v>
      </c>
    </row>
    <row r="415" spans="1:12">
      <c r="A415" s="28">
        <f t="shared" si="143"/>
        <v>7</v>
      </c>
      <c r="B415" s="13">
        <f>(VLOOKUP(E$16,'Aging Factor'!$A$145:$G$242,5,1)*(SQRT(A415+K$16-L$16)*Calibration!$B$49)-((0.32989795*(A415+K$16-L$16)-1.302)))</f>
        <v>17.125992522736869</v>
      </c>
      <c r="C415" s="13">
        <f>A415*$B$50*(VLOOKUP(E$16,'Aging Factor'!$A$145:$G$242,5,1)*(G$16/L$16/12500)*('Degradation Model'!$B$26/F$16))</f>
        <v>25.253709259322314</v>
      </c>
      <c r="D415" s="13">
        <f>D414+(C409*100/I414)</f>
        <v>35.376667933037645</v>
      </c>
      <c r="E415" s="13">
        <f>((VLOOKUP(E$16,'Aging Factor'!$A$145:$H$242,8,1)-1)*F415*J$16/7)</f>
        <v>3.4770841044969449</v>
      </c>
      <c r="F415" s="13">
        <f t="shared" si="137"/>
        <v>52.502660455774517</v>
      </c>
      <c r="G415" s="13">
        <f t="shared" si="138"/>
        <v>55.979744560271463</v>
      </c>
      <c r="H415" s="13">
        <f t="shared" si="144"/>
        <v>8.3950631889713137</v>
      </c>
      <c r="I415" s="13">
        <f t="shared" si="139"/>
        <v>44.020255439728537</v>
      </c>
      <c r="J415" s="14">
        <f t="shared" si="140"/>
        <v>123.6969177856372</v>
      </c>
      <c r="K415" s="15">
        <f t="shared" si="141"/>
        <v>36.344125487605055</v>
      </c>
      <c r="L415" s="14">
        <f t="shared" si="142"/>
        <v>102.1269926201702</v>
      </c>
    </row>
    <row r="416" spans="1:12">
      <c r="A416" s="28">
        <f t="shared" si="143"/>
        <v>8</v>
      </c>
      <c r="B416" s="13">
        <f>(VLOOKUP(E$16,'Aging Factor'!$A$145:$G$242,5,1)*(SQRT(A416+K$16-L$16)*Calibration!$B$49)-((0.32989795*(A416+K$16-L$16)-1.302)))</f>
        <v>18.027106926531459</v>
      </c>
      <c r="C416" s="13">
        <f>A416*$B$50*(VLOOKUP(E$16,'Aging Factor'!$A$145:$G$242,5,1)*(G$16/L$16/12500)*('Degradation Model'!$B$26/F$16))</f>
        <v>28.861382010654072</v>
      </c>
      <c r="D416" s="13">
        <f>D415+(C409*100/I415)</f>
        <v>43.572151387856067</v>
      </c>
      <c r="E416" s="13">
        <f>((VLOOKUP(E$16,'Aging Factor'!$A$145:$H$242,8,1)-1)*F416*J$16/7)</f>
        <v>4.079522829403607</v>
      </c>
      <c r="F416" s="13">
        <f t="shared" si="137"/>
        <v>61.599258314387527</v>
      </c>
      <c r="G416" s="13">
        <f t="shared" si="138"/>
        <v>65.678781143791127</v>
      </c>
      <c r="H416" s="13">
        <f t="shared" si="144"/>
        <v>9.6990365835196641</v>
      </c>
      <c r="I416" s="13">
        <f t="shared" si="139"/>
        <v>34.321218856208873</v>
      </c>
      <c r="J416" s="14">
        <f t="shared" si="140"/>
        <v>96.442624985946935</v>
      </c>
      <c r="K416" s="15">
        <f t="shared" si="141"/>
        <v>28.336379980926896</v>
      </c>
      <c r="L416" s="14">
        <f t="shared" si="142"/>
        <v>79.625227746404576</v>
      </c>
    </row>
    <row r="417" spans="1:12">
      <c r="A417" s="28">
        <f t="shared" si="143"/>
        <v>9</v>
      </c>
      <c r="B417" s="13">
        <f>(VLOOKUP(E$16,'Aging Factor'!$A$145:$G$242,5,1)*(SQRT(A417+K$16-L$16)*Calibration!$B$49)-((0.32989795*(A417+K$16-L$16)-1.302)))</f>
        <v>18.854678384647855</v>
      </c>
      <c r="C417" s="13">
        <f>A417*$B$50*(VLOOKUP(E$16,'Aging Factor'!$A$145:$G$242,5,1)*(G$16/L$16/12500)*('Degradation Model'!$B$26/F$16))</f>
        <v>32.469054761985831</v>
      </c>
      <c r="D417" s="13">
        <f>D416+(C409*100/I416)</f>
        <v>54.083645068911963</v>
      </c>
      <c r="E417" s="13">
        <f>((VLOOKUP(E$16,'Aging Factor'!$A$145:$H$242,8,1)-1)*F417*J$16/7)</f>
        <v>4.830473025317632</v>
      </c>
      <c r="F417" s="13">
        <f t="shared" si="137"/>
        <v>72.938323453559818</v>
      </c>
      <c r="G417" s="13">
        <f t="shared" si="138"/>
        <v>77.768796478877448</v>
      </c>
      <c r="H417" s="13">
        <f t="shared" si="144"/>
        <v>12.090015335086321</v>
      </c>
      <c r="I417" s="13">
        <f t="shared" si="139"/>
        <v>22.231203521122552</v>
      </c>
      <c r="J417" s="14">
        <f t="shared" si="140"/>
        <v>62.469681894354373</v>
      </c>
      <c r="K417" s="15">
        <f t="shared" si="141"/>
        <v>18.354587960499757</v>
      </c>
      <c r="L417" s="14">
        <f t="shared" si="142"/>
        <v>51.576392169004322</v>
      </c>
    </row>
    <row r="418" spans="1:12">
      <c r="A418" s="32">
        <f t="shared" si="143"/>
        <v>10</v>
      </c>
      <c r="B418" s="13">
        <f>(VLOOKUP(E$16,'Aging Factor'!$A$145:$G$242,5,1)*(SQRT(A418+K$16-L$16)*Calibration!$B$49)-((0.32989795*(A418+K$16-L$16)-1.302)))</f>
        <v>19.620497657069738</v>
      </c>
      <c r="C418" s="13">
        <f>A418*$B$50*(VLOOKUP(E$16,'Aging Factor'!$A$145:$G$242,5,1)*(G$16/L$16/12500)*('Degradation Model'!$B$26/F$16))</f>
        <v>36.076727513317593</v>
      </c>
      <c r="D418" s="13">
        <f>D417+(C409*100/I417)</f>
        <v>70.311613779215918</v>
      </c>
      <c r="E418" s="13">
        <f>((VLOOKUP(E$16,'Aging Factor'!$A$145:$H$242,8,1)-1)*F418*J$16/7)</f>
        <v>5.9559175181676753</v>
      </c>
      <c r="F418" s="13">
        <f t="shared" si="137"/>
        <v>89.932111436285652</v>
      </c>
      <c r="G418" s="13">
        <f t="shared" si="138"/>
        <v>95.888028954453333</v>
      </c>
      <c r="H418" s="13">
        <f t="shared" si="144"/>
        <v>18.119232475575885</v>
      </c>
      <c r="I418" s="13">
        <f t="shared" si="139"/>
        <v>5</v>
      </c>
      <c r="J418" s="33">
        <f t="shared" si="140"/>
        <v>14.05</v>
      </c>
      <c r="K418" s="15">
        <f t="shared" si="141"/>
        <v>4.1281138790035588</v>
      </c>
      <c r="L418" s="14">
        <f t="shared" si="142"/>
        <v>11.6</v>
      </c>
    </row>
    <row r="419" spans="1:12">
      <c r="A419" s="28">
        <f t="shared" si="143"/>
        <v>11</v>
      </c>
      <c r="B419" s="13">
        <f>(VLOOKUP(E$16,'Aging Factor'!$A$145:$G$242,5,1)*(SQRT(A419+K$16-L$16)*Calibration!$B$49)-((0.32989795*(A419+K$16-L$16)-1.302)))</f>
        <v>20.33350583474893</v>
      </c>
      <c r="C419" s="13">
        <f>A419*$B$50*(VLOOKUP(E$16,'Aging Factor'!$A$145:$G$242,5,1)*(G$16/L$16/12500)*('Degradation Model'!$B$26/F$16))</f>
        <v>39.684400264649348</v>
      </c>
      <c r="D419" s="13">
        <f>D418+(C409*100/I418)</f>
        <v>142.4650688058511</v>
      </c>
      <c r="E419" s="13">
        <f>((VLOOKUP(E$16,'Aging Factor'!$A$145:$H$242,8,1)-1)*F419*J$16/7)</f>
        <v>10.781631467883662</v>
      </c>
      <c r="F419" s="13">
        <f t="shared" si="137"/>
        <v>162.79857464060004</v>
      </c>
      <c r="G419" s="13">
        <f t="shared" si="138"/>
        <v>173.58020610848371</v>
      </c>
      <c r="H419" s="13">
        <f t="shared" si="144"/>
        <v>77.692177154030375</v>
      </c>
      <c r="I419" s="13">
        <f t="shared" si="139"/>
        <v>5</v>
      </c>
      <c r="J419" s="14">
        <f t="shared" si="140"/>
        <v>14.05</v>
      </c>
      <c r="K419" s="15">
        <f t="shared" si="141"/>
        <v>4.1281138790035588</v>
      </c>
      <c r="L419" s="14">
        <f t="shared" si="142"/>
        <v>11.6</v>
      </c>
    </row>
    <row r="420" spans="1:12">
      <c r="A420" s="28">
        <f t="shared" si="143"/>
        <v>12</v>
      </c>
      <c r="B420" s="13">
        <f>(VLOOKUP(E$16,'Aging Factor'!$A$145:$G$242,5,1)*(SQRT(A420+K$16-L$16)*Calibration!$B$49)-((0.32989795*(A420+K$16-L$16)-1.302)))</f>
        <v>21.000674408312015</v>
      </c>
      <c r="C420" s="13">
        <f>A420*$B$50*(VLOOKUP(E$16,'Aging Factor'!$A$145:$G$242,5,1)*(G$16/L$16/12500)*('Degradation Model'!$B$26/F$16))</f>
        <v>43.29207301598111</v>
      </c>
      <c r="D420" s="13">
        <f>D419+(C409*100/I419)</f>
        <v>214.61852383248629</v>
      </c>
      <c r="E420" s="13">
        <f>((VLOOKUP(E$16,'Aging Factor'!$A$145:$H$242,8,1)-1)*F420*J$16/7)</f>
        <v>15.604309606510368</v>
      </c>
      <c r="F420" s="13">
        <f t="shared" si="137"/>
        <v>235.61919824079831</v>
      </c>
      <c r="G420" s="13">
        <f t="shared" si="138"/>
        <v>251.22350784730867</v>
      </c>
      <c r="H420" s="13">
        <f t="shared" si="144"/>
        <v>77.64330173882496</v>
      </c>
      <c r="I420" s="13">
        <f t="shared" si="139"/>
        <v>5</v>
      </c>
      <c r="J420" s="14">
        <f t="shared" si="140"/>
        <v>14.05</v>
      </c>
      <c r="K420" s="15">
        <f t="shared" si="141"/>
        <v>4.1281138790035588</v>
      </c>
      <c r="L420" s="14">
        <f t="shared" si="142"/>
        <v>11.6</v>
      </c>
    </row>
    <row r="421" spans="1:12">
      <c r="A421" s="28">
        <f t="shared" si="143"/>
        <v>13</v>
      </c>
      <c r="B421" s="13">
        <f>(VLOOKUP(E$16,'Aging Factor'!$A$145:$G$242,5,1)*(SQRT(A421+K$16-L$16)*Calibration!$B$49)-((0.32989795*(A421+K$16-L$16)-1.302)))</f>
        <v>21.627563961242174</v>
      </c>
      <c r="C421" s="13">
        <f>A421*$B$50*(VLOOKUP(E$16,'Aging Factor'!$A$145:$G$242,5,1)*(G$16/L$16/12500)*('Degradation Model'!$B$26/F$16))</f>
        <v>46.899745767312865</v>
      </c>
      <c r="D421" s="13">
        <f>D420+(C409*100/I420)</f>
        <v>286.77197885912148</v>
      </c>
      <c r="E421" s="13">
        <f>((VLOOKUP(E$16,'Aging Factor'!$A$145:$H$242,8,1)-1)*F421*J$16/7)</f>
        <v>20.424320193794497</v>
      </c>
      <c r="F421" s="13">
        <f t="shared" si="137"/>
        <v>308.39954282036365</v>
      </c>
      <c r="G421" s="13">
        <f t="shared" si="138"/>
        <v>328.82386301415812</v>
      </c>
      <c r="H421" s="13">
        <f t="shared" si="144"/>
        <v>77.600355166849454</v>
      </c>
      <c r="I421" s="13">
        <f t="shared" si="139"/>
        <v>5</v>
      </c>
      <c r="J421" s="14">
        <f t="shared" si="140"/>
        <v>14.05</v>
      </c>
      <c r="K421" s="15">
        <f t="shared" si="141"/>
        <v>4.1281138790035588</v>
      </c>
      <c r="L421" s="14">
        <f t="shared" si="142"/>
        <v>11.6</v>
      </c>
    </row>
    <row r="422" spans="1:12">
      <c r="A422" s="28">
        <f t="shared" si="143"/>
        <v>14</v>
      </c>
      <c r="B422" s="13">
        <f>(VLOOKUP(E$16,'Aging Factor'!$A$145:$G$242,5,1)*(SQRT(A422+K$16-L$16)*Calibration!$B$49)-((0.32989795*(A422+K$16-L$16)-1.302)))</f>
        <v>22.218694249945862</v>
      </c>
      <c r="C422" s="13">
        <f>A422*$B$50*(VLOOKUP(E$16,'Aging Factor'!$A$145:$G$242,5,1)*(G$16/L$16/12500)*('Degradation Model'!$B$26/F$16))</f>
        <v>50.507418518644627</v>
      </c>
      <c r="D422" s="13">
        <f>D421+(C409*100/I421)</f>
        <v>358.92543388575666</v>
      </c>
      <c r="E422" s="13">
        <f>((VLOOKUP(E$16,'Aging Factor'!$A$145:$H$242,8,1)-1)*F422*J$16/7)</f>
        <v>25.241962558818063</v>
      </c>
      <c r="F422" s="13">
        <f t="shared" si="137"/>
        <v>381.14412813570254</v>
      </c>
      <c r="G422" s="13">
        <f t="shared" si="138"/>
        <v>406.38609069452059</v>
      </c>
      <c r="H422" s="13">
        <f t="shared" si="144"/>
        <v>77.562227680362469</v>
      </c>
      <c r="I422" s="13">
        <f t="shared" si="139"/>
        <v>5</v>
      </c>
      <c r="J422" s="14">
        <f t="shared" si="140"/>
        <v>14.05</v>
      </c>
      <c r="K422" s="15">
        <f t="shared" si="141"/>
        <v>4.1281138790035588</v>
      </c>
      <c r="L422" s="14">
        <f t="shared" si="142"/>
        <v>11.6</v>
      </c>
    </row>
    <row r="423" spans="1:12">
      <c r="A423" s="28">
        <f t="shared" si="143"/>
        <v>15</v>
      </c>
      <c r="B423" s="13">
        <f>(VLOOKUP(E$16,'Aging Factor'!$A$145:$G$242,5,1)*(SQRT(A423+K$16-L$16)*Calibration!$B$49)-((0.32989795*(A423+K$16-L$16)-1.302)))</f>
        <v>22.777798108414984</v>
      </c>
      <c r="C423" s="13">
        <f>A423*$B$50*(VLOOKUP(E$16,'Aging Factor'!$A$145:$G$242,5,1)*(G$16/L$16/12500)*('Degradation Model'!$B$26/F$16))</f>
        <v>54.115091269976382</v>
      </c>
      <c r="D423" s="13">
        <f>D422+(C409*100/I422)</f>
        <v>431.07888891239185</v>
      </c>
      <c r="E423" s="13">
        <f>((VLOOKUP(E$16,'Aging Factor'!$A$145:$H$242,8,1)-1)*F423*J$16/7)</f>
        <v>30.057483915296043</v>
      </c>
      <c r="F423" s="13">
        <f t="shared" si="137"/>
        <v>453.85668702080682</v>
      </c>
      <c r="G423" s="13">
        <f t="shared" si="138"/>
        <v>483.91417093610283</v>
      </c>
      <c r="H423" s="13">
        <f t="shared" si="144"/>
        <v>77.528080241582245</v>
      </c>
      <c r="I423" s="13">
        <f t="shared" si="139"/>
        <v>5</v>
      </c>
      <c r="J423" s="14">
        <f t="shared" si="140"/>
        <v>14.05</v>
      </c>
      <c r="K423" s="15">
        <f t="shared" si="141"/>
        <v>4.1281138790035588</v>
      </c>
      <c r="L423" s="14">
        <f t="shared" si="142"/>
        <v>11.6</v>
      </c>
    </row>
    <row r="426" spans="1:12">
      <c r="A426" s="7" t="s">
        <v>99</v>
      </c>
    </row>
    <row r="428" spans="1:12">
      <c r="A428" s="29"/>
      <c r="B428" s="29" t="s">
        <v>54</v>
      </c>
      <c r="C428" s="29" t="s">
        <v>54</v>
      </c>
      <c r="D428" s="29" t="s">
        <v>2</v>
      </c>
      <c r="E428" s="29" t="s">
        <v>3</v>
      </c>
      <c r="F428" s="29" t="s">
        <v>4</v>
      </c>
      <c r="G428" s="29" t="s">
        <v>54</v>
      </c>
      <c r="H428" s="29" t="s">
        <v>55</v>
      </c>
      <c r="I428" s="29" t="s">
        <v>6</v>
      </c>
      <c r="J428" s="29" t="s">
        <v>7</v>
      </c>
      <c r="K428" s="29" t="s">
        <v>8</v>
      </c>
      <c r="L428" s="29" t="s">
        <v>8</v>
      </c>
    </row>
    <row r="429" spans="1:12">
      <c r="A429" s="29" t="s">
        <v>56</v>
      </c>
      <c r="B429" s="29" t="s">
        <v>9</v>
      </c>
      <c r="C429" s="29" t="s">
        <v>10</v>
      </c>
      <c r="D429" s="29" t="s">
        <v>10</v>
      </c>
      <c r="E429" s="29" t="s">
        <v>11</v>
      </c>
      <c r="F429" s="29" t="s">
        <v>10</v>
      </c>
      <c r="G429" s="29" t="s">
        <v>12</v>
      </c>
      <c r="H429" s="29" t="s">
        <v>57</v>
      </c>
      <c r="I429" s="29" t="s">
        <v>52</v>
      </c>
      <c r="J429" s="29" t="s">
        <v>14</v>
      </c>
      <c r="K429" s="29" t="s">
        <v>15</v>
      </c>
      <c r="L429" s="29" t="s">
        <v>14</v>
      </c>
    </row>
    <row r="430" spans="1:12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</row>
    <row r="431" spans="1:12">
      <c r="A431" s="32">
        <v>1</v>
      </c>
      <c r="B431" s="13">
        <f>(VLOOKUP(E$17,'Aging Factor'!$A$145:$G$242,5,1)*(SQRT(A431+K$17-L$17)*Calibration!$B$49)-((0.32989795*(A431+K$17-L$17)-1.302)))</f>
        <v>8.7694609086411504</v>
      </c>
      <c r="C431" s="13">
        <f>A431*$B$50*(VLOOKUP(E$17,'Aging Factor'!$A$145:$G$242,5,1)*(G$17/L$17/12500)*('Degradation Model'!$B$26/F$17))</f>
        <v>2.7863485379553152</v>
      </c>
      <c r="D431" s="13">
        <f>C431</f>
        <v>2.7863485379553152</v>
      </c>
      <c r="E431" s="13">
        <f>((VLOOKUP(E$17,'Aging Factor'!$A$145:$H$242,8,1)-1)*F431*J$17/7)</f>
        <v>0.91836537788866146</v>
      </c>
      <c r="F431" s="13">
        <f t="shared" ref="F431:F445" si="145">B431+D431</f>
        <v>11.555809446596466</v>
      </c>
      <c r="G431" s="13">
        <f t="shared" ref="G431:G445" si="146">F431+E431</f>
        <v>12.474174824485129</v>
      </c>
      <c r="H431" s="13">
        <f>G431</f>
        <v>12.474174824485129</v>
      </c>
      <c r="I431" s="13">
        <f t="shared" ref="I431:I445" si="147">IF(100-G431&lt;=5,5,100-G431)</f>
        <v>87.525825175514868</v>
      </c>
      <c r="J431" s="33">
        <f t="shared" ref="J431:J445" si="148">IF(281*I431/100&gt;0,281*I431/100,0)</f>
        <v>245.9475687431968</v>
      </c>
      <c r="K431" s="15">
        <f t="shared" ref="K431:K445" si="149">IF(L431/281*100&gt;0,L431/281*100,0)</f>
        <v>72.263314735656394</v>
      </c>
      <c r="L431" s="14">
        <f t="shared" ref="L431:L445" si="150">IF(I431*232/100&gt;0,I431*232/100,0)</f>
        <v>203.05991440719447</v>
      </c>
    </row>
    <row r="432" spans="1:12">
      <c r="A432" s="28">
        <f t="shared" ref="A432:A445" si="151">A431+1</f>
        <v>2</v>
      </c>
      <c r="B432" s="13">
        <f>(VLOOKUP(E$17,'Aging Factor'!$A$145:$G$242,5,1)*(SQRT(A432+K$17-L$17)*Calibration!$B$49)-((0.32989795*(A432+K$17-L$17)-1.302)))</f>
        <v>10.961429804026588</v>
      </c>
      <c r="C432" s="13">
        <f>A432*$B$50*(VLOOKUP(E$17,'Aging Factor'!$A$145:$G$242,5,1)*(G$17/L$17/12500)*('Degradation Model'!$B$26/F$17))</f>
        <v>5.5726970759106305</v>
      </c>
      <c r="D432" s="13">
        <f>D431+(C431*100/I431)</f>
        <v>5.9698072855510924</v>
      </c>
      <c r="E432" s="13">
        <f>((VLOOKUP(E$17,'Aging Factor'!$A$145:$H$242,8,1)-1)*F432*J$17/7)</f>
        <v>1.3455623355291821</v>
      </c>
      <c r="F432" s="13">
        <f t="shared" si="145"/>
        <v>16.931237089577682</v>
      </c>
      <c r="G432" s="13">
        <f t="shared" si="146"/>
        <v>18.276799425106862</v>
      </c>
      <c r="H432" s="13">
        <f t="shared" ref="H432:H445" si="152">G432-G431</f>
        <v>5.8026246006217335</v>
      </c>
      <c r="I432" s="13">
        <f t="shared" si="147"/>
        <v>81.723200574893141</v>
      </c>
      <c r="J432" s="14">
        <f t="shared" si="148"/>
        <v>229.64219361544971</v>
      </c>
      <c r="K432" s="15">
        <f t="shared" si="149"/>
        <v>67.47253570596159</v>
      </c>
      <c r="L432" s="14">
        <f t="shared" si="150"/>
        <v>189.59782533375207</v>
      </c>
    </row>
    <row r="433" spans="1:12">
      <c r="A433" s="28">
        <f t="shared" si="151"/>
        <v>3</v>
      </c>
      <c r="B433" s="13">
        <f>(VLOOKUP(E$17,'Aging Factor'!$A$145:$G$242,5,1)*(SQRT(A433+K$17-L$17)*Calibration!$B$49)-((0.32989795*(A433+K$17-L$17)-1.302)))</f>
        <v>12.652919542155427</v>
      </c>
      <c r="C433" s="13">
        <f>A433*$B$50*(VLOOKUP(E$17,'Aging Factor'!$A$145:$G$242,5,1)*(G$17/L$17/12500)*('Degradation Model'!$B$26/F$17))</f>
        <v>8.3590456138659448</v>
      </c>
      <c r="D433" s="13">
        <f>D432+(C431*100/I432)</f>
        <v>9.3793024085447598</v>
      </c>
      <c r="E433" s="13">
        <f>((VLOOKUP(E$17,'Aging Factor'!$A$145:$H$242,8,1)-1)*F433*J$17/7)</f>
        <v>1.7509487267844359</v>
      </c>
      <c r="F433" s="13">
        <f t="shared" si="145"/>
        <v>22.032221950700187</v>
      </c>
      <c r="G433" s="13">
        <f t="shared" si="146"/>
        <v>23.783170677484623</v>
      </c>
      <c r="H433" s="13">
        <f t="shared" si="152"/>
        <v>5.506371252377761</v>
      </c>
      <c r="I433" s="13">
        <f t="shared" si="147"/>
        <v>76.21682932251538</v>
      </c>
      <c r="J433" s="14">
        <f t="shared" si="148"/>
        <v>214.16929039626822</v>
      </c>
      <c r="K433" s="15">
        <f t="shared" si="149"/>
        <v>62.926350187984227</v>
      </c>
      <c r="L433" s="14">
        <f t="shared" si="150"/>
        <v>176.82304402823567</v>
      </c>
    </row>
    <row r="434" spans="1:12">
      <c r="A434" s="28">
        <f t="shared" si="151"/>
        <v>4</v>
      </c>
      <c r="B434" s="13">
        <f>(VLOOKUP(E$17,'Aging Factor'!$A$145:$G$242,5,1)*(SQRT(A434+K$17-L$17)*Calibration!$B$49)-((0.32989795*(A434+K$17-L$17)-1.302)))</f>
        <v>14.059393705089484</v>
      </c>
      <c r="C434" s="13">
        <f>A434*$B$50*(VLOOKUP(E$17,'Aging Factor'!$A$145:$G$242,5,1)*(G$17/L$17/12500)*('Degradation Model'!$B$26/F$17))</f>
        <v>11.145394151821261</v>
      </c>
      <c r="D434" s="13">
        <f>D433+(C431*100/I433)</f>
        <v>13.03512037253371</v>
      </c>
      <c r="E434" s="13">
        <f>((VLOOKUP(E$17,'Aging Factor'!$A$145:$H$242,8,1)-1)*F434*J$17/7)</f>
        <v>2.1532601220708756</v>
      </c>
      <c r="F434" s="13">
        <f t="shared" si="145"/>
        <v>27.094514077623195</v>
      </c>
      <c r="G434" s="13">
        <f t="shared" si="146"/>
        <v>29.247774199694071</v>
      </c>
      <c r="H434" s="13">
        <f t="shared" si="152"/>
        <v>5.4646035222094476</v>
      </c>
      <c r="I434" s="13">
        <f t="shared" si="147"/>
        <v>70.752225800305922</v>
      </c>
      <c r="J434" s="14">
        <f t="shared" si="148"/>
        <v>198.81375449885962</v>
      </c>
      <c r="K434" s="15">
        <f t="shared" si="149"/>
        <v>58.414649059327303</v>
      </c>
      <c r="L434" s="14">
        <f t="shared" si="150"/>
        <v>164.14516385670973</v>
      </c>
    </row>
    <row r="435" spans="1:12">
      <c r="A435" s="32">
        <f t="shared" si="151"/>
        <v>5</v>
      </c>
      <c r="B435" s="13">
        <f>(VLOOKUP(E$17,'Aging Factor'!$A$145:$G$242,5,1)*(SQRT(A435+K$17-L$17)*Calibration!$B$49)-((0.32989795*(A435+K$17-L$17)-1.302)))</f>
        <v>15.275464602798346</v>
      </c>
      <c r="C435" s="13">
        <f>A435*$B$50*(VLOOKUP(E$17,'Aging Factor'!$A$145:$G$242,5,1)*(G$17/L$17/12500)*('Degradation Model'!$B$26/F$17))</f>
        <v>13.931742689776577</v>
      </c>
      <c r="D435" s="13">
        <f>D434+(C431*100/I434)</f>
        <v>16.973298297592383</v>
      </c>
      <c r="E435" s="13">
        <f>((VLOOKUP(E$17,'Aging Factor'!$A$145:$H$242,8,1)-1)*F435*J$17/7)</f>
        <v>2.5628795165172984</v>
      </c>
      <c r="F435" s="13">
        <f t="shared" si="145"/>
        <v>32.24876290039073</v>
      </c>
      <c r="G435" s="13">
        <f t="shared" si="146"/>
        <v>34.811642416908029</v>
      </c>
      <c r="H435" s="13">
        <f t="shared" si="152"/>
        <v>5.5638682172139582</v>
      </c>
      <c r="I435" s="13">
        <f t="shared" si="147"/>
        <v>65.188357583091971</v>
      </c>
      <c r="J435" s="33">
        <f t="shared" si="148"/>
        <v>183.17928480848843</v>
      </c>
      <c r="K435" s="15">
        <f t="shared" si="149"/>
        <v>53.820992737641774</v>
      </c>
      <c r="L435" s="14">
        <f t="shared" si="150"/>
        <v>151.23698959277337</v>
      </c>
    </row>
    <row r="436" spans="1:12">
      <c r="A436" s="28">
        <f t="shared" si="151"/>
        <v>6</v>
      </c>
      <c r="B436" s="13">
        <f>(VLOOKUP(E$17,'Aging Factor'!$A$145:$G$242,5,1)*(SQRT(A436+K$17-L$17)*Calibration!$B$49)-((0.32989795*(A436+K$17-L$17)-1.302)))</f>
        <v>16.352710854317682</v>
      </c>
      <c r="C436" s="13">
        <f>A436*$B$50*(VLOOKUP(E$17,'Aging Factor'!$A$145:$G$242,5,1)*(G$17/L$17/12500)*('Degradation Model'!$B$26/F$17))</f>
        <v>16.71809122773189</v>
      </c>
      <c r="D436" s="13">
        <f>D435+(C431*100/I435)</f>
        <v>21.247602239678532</v>
      </c>
      <c r="E436" s="13">
        <f>((VLOOKUP(E$17,'Aging Factor'!$A$145:$H$242,8,1)-1)*F436*J$17/7)</f>
        <v>2.9881788811834542</v>
      </c>
      <c r="F436" s="13">
        <f t="shared" si="145"/>
        <v>37.600313093996213</v>
      </c>
      <c r="G436" s="13">
        <f t="shared" si="146"/>
        <v>40.588491975179664</v>
      </c>
      <c r="H436" s="13">
        <f t="shared" si="152"/>
        <v>5.7768495582716355</v>
      </c>
      <c r="I436" s="13">
        <f t="shared" si="147"/>
        <v>59.411508024820336</v>
      </c>
      <c r="J436" s="14">
        <f t="shared" si="148"/>
        <v>166.94633754974515</v>
      </c>
      <c r="K436" s="15">
        <f t="shared" si="149"/>
        <v>49.051494169958424</v>
      </c>
      <c r="L436" s="14">
        <f t="shared" si="150"/>
        <v>137.83469861758317</v>
      </c>
    </row>
    <row r="437" spans="1:12">
      <c r="A437" s="28">
        <f t="shared" si="151"/>
        <v>7</v>
      </c>
      <c r="B437" s="13">
        <f>(VLOOKUP(E$17,'Aging Factor'!$A$145:$G$242,5,1)*(SQRT(A437+K$17-L$17)*Calibration!$B$49)-((0.32989795*(A437+K$17-L$17)-1.302)))</f>
        <v>17.322928983731032</v>
      </c>
      <c r="C437" s="13">
        <f>A437*$B$50*(VLOOKUP(E$17,'Aging Factor'!$A$145:$G$242,5,1)*(G$17/L$17/12500)*('Degradation Model'!$B$26/F$17))</f>
        <v>19.504439765687206</v>
      </c>
      <c r="D437" s="13">
        <f>D436+(C431*100/I436)</f>
        <v>25.937516080598481</v>
      </c>
      <c r="E437" s="13">
        <f>((VLOOKUP(E$17,'Aging Factor'!$A$145:$H$242,8,1)-1)*F437*J$17/7)</f>
        <v>3.4380019126082089</v>
      </c>
      <c r="F437" s="13">
        <f t="shared" si="145"/>
        <v>43.260445064329517</v>
      </c>
      <c r="G437" s="13">
        <f t="shared" si="146"/>
        <v>46.698446976937724</v>
      </c>
      <c r="H437" s="13">
        <f t="shared" si="152"/>
        <v>6.1099550017580597</v>
      </c>
      <c r="I437" s="13">
        <f t="shared" si="147"/>
        <v>53.301553023062276</v>
      </c>
      <c r="J437" s="14">
        <f t="shared" si="148"/>
        <v>149.777363994805</v>
      </c>
      <c r="K437" s="15">
        <f t="shared" si="149"/>
        <v>44.006976161389495</v>
      </c>
      <c r="L437" s="14">
        <f t="shared" si="150"/>
        <v>123.65960301350448</v>
      </c>
    </row>
    <row r="438" spans="1:12">
      <c r="A438" s="28">
        <f t="shared" si="151"/>
        <v>8</v>
      </c>
      <c r="B438" s="13">
        <f>(VLOOKUP(E$17,'Aging Factor'!$A$145:$G$242,5,1)*(SQRT(A438+K$17-L$17)*Calibration!$B$49)-((0.32989795*(A438+K$17-L$17)-1.302)))</f>
        <v>18.207362550019372</v>
      </c>
      <c r="C438" s="13">
        <f>A438*$B$50*(VLOOKUP(E$17,'Aging Factor'!$A$145:$G$242,5,1)*(G$17/L$17/12500)*('Degradation Model'!$B$26/F$17))</f>
        <v>22.290788303642522</v>
      </c>
      <c r="D438" s="13">
        <f>D437+(C431*100/I437)</f>
        <v>31.165034567254452</v>
      </c>
      <c r="E438" s="13">
        <f>((VLOOKUP(E$17,'Aging Factor'!$A$145:$H$242,8,1)-1)*F438*J$17/7)</f>
        <v>3.9237320713373984</v>
      </c>
      <c r="F438" s="13">
        <f t="shared" si="145"/>
        <v>49.37239711727382</v>
      </c>
      <c r="G438" s="13">
        <f t="shared" si="146"/>
        <v>53.296129188611218</v>
      </c>
      <c r="H438" s="13">
        <f t="shared" si="152"/>
        <v>6.5976822116734937</v>
      </c>
      <c r="I438" s="13">
        <f t="shared" si="147"/>
        <v>46.703870811388782</v>
      </c>
      <c r="J438" s="14">
        <f t="shared" si="148"/>
        <v>131.23787698000248</v>
      </c>
      <c r="K438" s="15">
        <f t="shared" si="149"/>
        <v>38.559779459936649</v>
      </c>
      <c r="L438" s="14">
        <f t="shared" si="150"/>
        <v>108.35298028242198</v>
      </c>
    </row>
    <row r="439" spans="1:12">
      <c r="A439" s="28">
        <f t="shared" si="151"/>
        <v>9</v>
      </c>
      <c r="B439" s="13">
        <f>(VLOOKUP(E$17,'Aging Factor'!$A$145:$G$242,5,1)*(SQRT(A439+K$17-L$17)*Calibration!$B$49)-((0.32989795*(A439+K$17-L$17)-1.302)))</f>
        <v>19.021038224474765</v>
      </c>
      <c r="C439" s="13">
        <f>A439*$B$50*(VLOOKUP(E$17,'Aging Factor'!$A$145:$G$242,5,1)*(G$17/L$17/12500)*('Degradation Model'!$B$26/F$17))</f>
        <v>25.077136841597838</v>
      </c>
      <c r="D439" s="13">
        <f>D438+(C431*100/I438)</f>
        <v>37.131025157644366</v>
      </c>
      <c r="E439" s="13">
        <f>((VLOOKUP(E$17,'Aging Factor'!$A$145:$H$242,8,1)-1)*F439*J$17/7)</f>
        <v>4.4625269346524457</v>
      </c>
      <c r="F439" s="13">
        <f t="shared" si="145"/>
        <v>56.152063382119131</v>
      </c>
      <c r="G439" s="13">
        <f t="shared" si="146"/>
        <v>60.614590316771576</v>
      </c>
      <c r="H439" s="13">
        <f t="shared" si="152"/>
        <v>7.318461128160358</v>
      </c>
      <c r="I439" s="13">
        <f t="shared" si="147"/>
        <v>39.385409683228424</v>
      </c>
      <c r="J439" s="14">
        <f t="shared" si="148"/>
        <v>110.67300120987187</v>
      </c>
      <c r="K439" s="15">
        <f t="shared" si="149"/>
        <v>32.51749126871529</v>
      </c>
      <c r="L439" s="14">
        <f t="shared" si="150"/>
        <v>91.374150465089954</v>
      </c>
    </row>
    <row r="440" spans="1:12">
      <c r="A440" s="32">
        <f t="shared" si="151"/>
        <v>10</v>
      </c>
      <c r="B440" s="13">
        <f>(VLOOKUP(E$17,'Aging Factor'!$A$145:$G$242,5,1)*(SQRT(A440+K$17-L$17)*Calibration!$B$49)-((0.32989795*(A440+K$17-L$17)-1.302)))</f>
        <v>19.775049080813286</v>
      </c>
      <c r="C440" s="13">
        <f>A440*$B$50*(VLOOKUP(E$17,'Aging Factor'!$A$145:$G$242,5,1)*(G$17/L$17/12500)*('Degradation Model'!$B$26/F$17))</f>
        <v>27.863485379553154</v>
      </c>
      <c r="D440" s="13">
        <f>D439+(C431*100/I439)</f>
        <v>44.205595564212544</v>
      </c>
      <c r="E440" s="13">
        <f>((VLOOKUP(E$17,'Aging Factor'!$A$145:$H$242,8,1)-1)*F440*J$17/7)</f>
        <v>5.0846813603607144</v>
      </c>
      <c r="F440" s="13">
        <f t="shared" si="145"/>
        <v>63.980644645025833</v>
      </c>
      <c r="G440" s="13">
        <f t="shared" si="146"/>
        <v>69.065326005386552</v>
      </c>
      <c r="H440" s="13">
        <f t="shared" si="152"/>
        <v>8.4507356886149765</v>
      </c>
      <c r="I440" s="13">
        <f t="shared" si="147"/>
        <v>30.934673994613448</v>
      </c>
      <c r="J440" s="33">
        <f t="shared" si="148"/>
        <v>86.926433924863801</v>
      </c>
      <c r="K440" s="15">
        <f t="shared" si="149"/>
        <v>25.540371411922848</v>
      </c>
      <c r="L440" s="14">
        <f t="shared" si="150"/>
        <v>71.768443667503192</v>
      </c>
    </row>
    <row r="441" spans="1:12">
      <c r="A441" s="28">
        <f t="shared" si="151"/>
        <v>11</v>
      </c>
      <c r="B441" s="13">
        <f>(VLOOKUP(E$17,'Aging Factor'!$A$145:$G$242,5,1)*(SQRT(A441+K$17-L$17)*Calibration!$B$49)-((0.32989795*(A441+K$17-L$17)-1.302)))</f>
        <v>20.477861009958048</v>
      </c>
      <c r="C441" s="13">
        <f>A441*$B$50*(VLOOKUP(E$17,'Aging Factor'!$A$145:$G$242,5,1)*(G$17/L$17/12500)*('Degradation Model'!$B$26/F$17))</f>
        <v>30.649833917508467</v>
      </c>
      <c r="D441" s="13">
        <f>D440+(C431*100/I440)</f>
        <v>53.21279744531364</v>
      </c>
      <c r="E441" s="13">
        <f>((VLOOKUP(E$17,'Aging Factor'!$A$145:$H$242,8,1)-1)*F441*J$17/7)</f>
        <v>5.8563573336761952</v>
      </c>
      <c r="F441" s="13">
        <f t="shared" si="145"/>
        <v>73.690658455271688</v>
      </c>
      <c r="G441" s="13">
        <f t="shared" si="146"/>
        <v>79.547015788947888</v>
      </c>
      <c r="H441" s="13">
        <f t="shared" si="152"/>
        <v>10.481689783561336</v>
      </c>
      <c r="I441" s="13">
        <f t="shared" si="147"/>
        <v>20.452984211052112</v>
      </c>
      <c r="J441" s="14">
        <f t="shared" si="148"/>
        <v>57.472885633056428</v>
      </c>
      <c r="K441" s="15">
        <f t="shared" si="149"/>
        <v>16.886449597736974</v>
      </c>
      <c r="L441" s="14">
        <f t="shared" si="150"/>
        <v>47.450923369640897</v>
      </c>
    </row>
    <row r="442" spans="1:12">
      <c r="A442" s="28">
        <f t="shared" si="151"/>
        <v>12</v>
      </c>
      <c r="B442" s="13">
        <f>(VLOOKUP(E$17,'Aging Factor'!$A$145:$G$242,5,1)*(SQRT(A442+K$17-L$17)*Calibration!$B$49)-((0.32989795*(A442+K$17-L$17)-1.302)))</f>
        <v>21.136109159784667</v>
      </c>
      <c r="C442" s="13">
        <f>A442*$B$50*(VLOOKUP(E$17,'Aging Factor'!$A$145:$G$242,5,1)*(G$17/L$17/12500)*('Degradation Model'!$B$26/F$17))</f>
        <v>33.436182455463779</v>
      </c>
      <c r="D442" s="13">
        <f>D441+(C431*100/I441)</f>
        <v>66.835985676445532</v>
      </c>
      <c r="E442" s="13">
        <f>((VLOOKUP(E$17,'Aging Factor'!$A$145:$H$242,8,1)-1)*F442*J$17/7)</f>
        <v>6.9913342281467754</v>
      </c>
      <c r="F442" s="13">
        <f t="shared" si="145"/>
        <v>87.972094836230198</v>
      </c>
      <c r="G442" s="13">
        <f t="shared" si="146"/>
        <v>94.963429064376967</v>
      </c>
      <c r="H442" s="13">
        <f t="shared" si="152"/>
        <v>15.416413275429079</v>
      </c>
      <c r="I442" s="13">
        <f t="shared" si="147"/>
        <v>5.0365709356230326</v>
      </c>
      <c r="J442" s="14">
        <f t="shared" si="148"/>
        <v>14.152764329100721</v>
      </c>
      <c r="K442" s="15">
        <f t="shared" si="149"/>
        <v>4.1583076763862765</v>
      </c>
      <c r="L442" s="14">
        <f t="shared" si="150"/>
        <v>11.684844570645437</v>
      </c>
    </row>
    <row r="443" spans="1:12">
      <c r="A443" s="28">
        <f t="shared" si="151"/>
        <v>13</v>
      </c>
      <c r="B443" s="13">
        <f>(VLOOKUP(E$17,'Aging Factor'!$A$145:$G$242,5,1)*(SQRT(A443+K$17-L$17)*Calibration!$B$49)-((0.32989795*(A443+K$17-L$17)-1.302)))</f>
        <v>21.755108467160166</v>
      </c>
      <c r="C443" s="13">
        <f>A443*$B$50*(VLOOKUP(E$17,'Aging Factor'!$A$145:$G$242,5,1)*(G$17/L$17/12500)*('Degradation Model'!$B$26/F$17))</f>
        <v>36.222530993419099</v>
      </c>
      <c r="D443" s="13">
        <f>D442+(C431*100/I442)</f>
        <v>122.15831854081209</v>
      </c>
      <c r="E443" s="13">
        <f>((VLOOKUP(E$17,'Aging Factor'!$A$145:$H$242,8,1)-1)*F443*J$17/7)</f>
        <v>11.437113893943218</v>
      </c>
      <c r="F443" s="13">
        <f t="shared" si="145"/>
        <v>143.91342700797225</v>
      </c>
      <c r="G443" s="13">
        <f t="shared" si="146"/>
        <v>155.35054090191545</v>
      </c>
      <c r="H443" s="13">
        <f t="shared" si="152"/>
        <v>60.387111837538484</v>
      </c>
      <c r="I443" s="13">
        <f t="shared" si="147"/>
        <v>5</v>
      </c>
      <c r="J443" s="14">
        <f t="shared" si="148"/>
        <v>14.05</v>
      </c>
      <c r="K443" s="15">
        <f t="shared" si="149"/>
        <v>4.1281138790035588</v>
      </c>
      <c r="L443" s="14">
        <f t="shared" si="150"/>
        <v>11.6</v>
      </c>
    </row>
    <row r="444" spans="1:12">
      <c r="A444" s="28">
        <f t="shared" si="151"/>
        <v>14</v>
      </c>
      <c r="B444" s="13">
        <f>(VLOOKUP(E$17,'Aging Factor'!$A$145:$G$242,5,1)*(SQRT(A444+K$17-L$17)*Calibration!$B$49)-((0.32989795*(A444+K$17-L$17)-1.302)))</f>
        <v>22.339194536430039</v>
      </c>
      <c r="C444" s="13">
        <f>A444*$B$50*(VLOOKUP(E$17,'Aging Factor'!$A$145:$G$242,5,1)*(G$17/L$17/12500)*('Degradation Model'!$B$26/F$17))</f>
        <v>39.008879531374411</v>
      </c>
      <c r="D444" s="13">
        <f>D443+(C431*100/I443)</f>
        <v>177.88528929991838</v>
      </c>
      <c r="E444" s="13">
        <f>((VLOOKUP(E$17,'Aging Factor'!$A$145:$H$242,8,1)-1)*F444*J$17/7)</f>
        <v>15.912276384506173</v>
      </c>
      <c r="F444" s="13">
        <f t="shared" si="145"/>
        <v>200.22448383634841</v>
      </c>
      <c r="G444" s="13">
        <f t="shared" si="146"/>
        <v>216.1367602208546</v>
      </c>
      <c r="H444" s="13">
        <f t="shared" si="152"/>
        <v>60.786219318939146</v>
      </c>
      <c r="I444" s="13">
        <f t="shared" si="147"/>
        <v>5</v>
      </c>
      <c r="J444" s="14">
        <f t="shared" si="148"/>
        <v>14.05</v>
      </c>
      <c r="K444" s="15">
        <f t="shared" si="149"/>
        <v>4.1281138790035588</v>
      </c>
      <c r="L444" s="14">
        <f t="shared" si="150"/>
        <v>11.6</v>
      </c>
    </row>
    <row r="445" spans="1:12">
      <c r="A445" s="28">
        <f t="shared" si="151"/>
        <v>15</v>
      </c>
      <c r="B445" s="13">
        <f>(VLOOKUP(E$17,'Aging Factor'!$A$145:$G$242,5,1)*(SQRT(A445+K$17-L$17)*Calibration!$B$49)-((0.32989795*(A445+K$17-L$17)-1.302)))</f>
        <v>22.891959068769047</v>
      </c>
      <c r="C445" s="13">
        <f>A445*$B$50*(VLOOKUP(E$17,'Aging Factor'!$A$145:$G$242,5,1)*(G$17/L$17/12500)*('Degradation Model'!$B$26/F$17))</f>
        <v>41.795228069329731</v>
      </c>
      <c r="D445" s="13">
        <f>D444+(C431*100/I444)</f>
        <v>233.61226005902469</v>
      </c>
      <c r="E445" s="13">
        <f>((VLOOKUP(E$17,'Aging Factor'!$A$145:$H$242,8,1)-1)*F445*J$17/7)</f>
        <v>20.38494968422253</v>
      </c>
      <c r="F445" s="13">
        <f t="shared" si="145"/>
        <v>256.50421912779376</v>
      </c>
      <c r="G445" s="13">
        <f t="shared" si="146"/>
        <v>276.88916881201629</v>
      </c>
      <c r="H445" s="13">
        <f t="shared" si="152"/>
        <v>60.752408591161696</v>
      </c>
      <c r="I445" s="13">
        <f t="shared" si="147"/>
        <v>5</v>
      </c>
      <c r="J445" s="14">
        <f t="shared" si="148"/>
        <v>14.05</v>
      </c>
      <c r="K445" s="15">
        <f t="shared" si="149"/>
        <v>4.1281138790035588</v>
      </c>
      <c r="L445" s="14">
        <f t="shared" si="150"/>
        <v>11.6</v>
      </c>
    </row>
    <row r="448" spans="1:12">
      <c r="A448" s="7" t="s">
        <v>100</v>
      </c>
    </row>
    <row r="450" spans="1:12">
      <c r="A450" s="29"/>
      <c r="B450" s="29" t="s">
        <v>54</v>
      </c>
      <c r="C450" s="29" t="s">
        <v>54</v>
      </c>
      <c r="D450" s="29" t="s">
        <v>2</v>
      </c>
      <c r="E450" s="29" t="s">
        <v>3</v>
      </c>
      <c r="F450" s="29" t="s">
        <v>4</v>
      </c>
      <c r="G450" s="29" t="s">
        <v>54</v>
      </c>
      <c r="H450" s="29" t="s">
        <v>55</v>
      </c>
      <c r="I450" s="29" t="s">
        <v>6</v>
      </c>
      <c r="J450" s="29" t="s">
        <v>7</v>
      </c>
      <c r="K450" s="29" t="s">
        <v>8</v>
      </c>
      <c r="L450" s="29" t="s">
        <v>8</v>
      </c>
    </row>
    <row r="451" spans="1:12">
      <c r="A451" s="29" t="s">
        <v>56</v>
      </c>
      <c r="B451" s="29" t="s">
        <v>9</v>
      </c>
      <c r="C451" s="29" t="s">
        <v>10</v>
      </c>
      <c r="D451" s="29" t="s">
        <v>10</v>
      </c>
      <c r="E451" s="29" t="s">
        <v>11</v>
      </c>
      <c r="F451" s="29" t="s">
        <v>10</v>
      </c>
      <c r="G451" s="29" t="s">
        <v>12</v>
      </c>
      <c r="H451" s="29" t="s">
        <v>57</v>
      </c>
      <c r="I451" s="29" t="s">
        <v>52</v>
      </c>
      <c r="J451" s="29" t="s">
        <v>14</v>
      </c>
      <c r="K451" s="29" t="s">
        <v>15</v>
      </c>
      <c r="L451" s="29" t="s">
        <v>14</v>
      </c>
    </row>
    <row r="452" spans="1:12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</row>
    <row r="453" spans="1:12">
      <c r="A453" s="32">
        <v>1</v>
      </c>
      <c r="B453" s="13">
        <f>(VLOOKUP(E$18,'Aging Factor'!$A$145:$G$242,5,1)*(SQRT(A453+K$18-L$18)*Calibration!$B$49)-((0.32989795*(A453+K$18-L$18)-1.302)))</f>
        <v>7.6044035479268501</v>
      </c>
      <c r="C453" s="13">
        <f>A453*$B$50*(VLOOKUP(E$18,'Aging Factor'!$A$145:$G$242,5,1)*(G$18/L$18/12500)*('Degradation Model'!$B$26/F$18))</f>
        <v>1.8309276483218995</v>
      </c>
      <c r="D453" s="13">
        <f>C453</f>
        <v>1.8309276483218995</v>
      </c>
      <c r="E453" s="13">
        <f>((VLOOKUP(E$18,'Aging Factor'!$A$145:$H$242,8,1)-1)*F453*J$18/7)</f>
        <v>0.99979512926285885</v>
      </c>
      <c r="F453" s="13">
        <f t="shared" ref="F453:F467" si="153">B453+D453</f>
        <v>9.4353311962487503</v>
      </c>
      <c r="G453" s="13">
        <f t="shared" ref="G453:G467" si="154">F453+E453</f>
        <v>10.435126325511609</v>
      </c>
      <c r="H453" s="13">
        <f>G453</f>
        <v>10.435126325511609</v>
      </c>
      <c r="I453" s="13">
        <f t="shared" ref="I453:I467" si="155">IF(100-G453&lt;=5,5,100-G453)</f>
        <v>89.564873674488396</v>
      </c>
      <c r="J453" s="33">
        <f t="shared" ref="J453:J467" si="156">IF(281*I453/100&gt;0,281*I453/100,0)</f>
        <v>251.67729502531239</v>
      </c>
      <c r="K453" s="15">
        <f t="shared" ref="K453:K467" si="157">IF(L453/281*100&gt;0,L453/281*100,0)</f>
        <v>73.946799617371212</v>
      </c>
      <c r="L453" s="14">
        <f t="shared" ref="L453:L467" si="158">IF(I453*232/100&gt;0,I453*232/100,0)</f>
        <v>207.79050692481309</v>
      </c>
    </row>
    <row r="454" spans="1:12">
      <c r="A454" s="28">
        <f t="shared" ref="A454:A467" si="159">A453+1</f>
        <v>2</v>
      </c>
      <c r="B454" s="13">
        <f>(VLOOKUP(E$18,'Aging Factor'!$A$145:$G$242,5,1)*(SQRT(A454+K$18-L$18)*Calibration!$B$49)-((0.32989795*(A454+K$18-L$18)-1.302)))</f>
        <v>9.4322188886180971</v>
      </c>
      <c r="C454" s="13">
        <f>A454*$B$50*(VLOOKUP(E$18,'Aging Factor'!$A$145:$G$242,5,1)*(G$18/L$18/12500)*('Degradation Model'!$B$26/F$18))</f>
        <v>3.6618552966437989</v>
      </c>
      <c r="D454" s="13">
        <f>D453+(C453*100/I453)</f>
        <v>3.8751751007061479</v>
      </c>
      <c r="E454" s="13">
        <f>((VLOOKUP(E$18,'Aging Factor'!$A$145:$H$242,8,1)-1)*F454*J$18/7)</f>
        <v>1.4100901618586348</v>
      </c>
      <c r="F454" s="13">
        <f t="shared" si="153"/>
        <v>13.307393989324245</v>
      </c>
      <c r="G454" s="13">
        <f t="shared" si="154"/>
        <v>14.71748415118288</v>
      </c>
      <c r="H454" s="13">
        <f t="shared" ref="H454:H467" si="160">G454-G453</f>
        <v>4.2823578256712711</v>
      </c>
      <c r="I454" s="13">
        <f t="shared" si="155"/>
        <v>85.282515848817127</v>
      </c>
      <c r="J454" s="14">
        <f t="shared" si="156"/>
        <v>239.64386953517612</v>
      </c>
      <c r="K454" s="15">
        <f t="shared" si="157"/>
        <v>70.411187462368588</v>
      </c>
      <c r="L454" s="14">
        <f t="shared" si="158"/>
        <v>197.85543676925573</v>
      </c>
    </row>
    <row r="455" spans="1:12">
      <c r="A455" s="28">
        <f t="shared" si="159"/>
        <v>3</v>
      </c>
      <c r="B455" s="13">
        <f>(VLOOKUP(E$18,'Aging Factor'!$A$145:$G$242,5,1)*(SQRT(A455+K$18-L$18)*Calibration!$B$49)-((0.32989795*(A455+K$18-L$18)-1.302)))</f>
        <v>10.830852873901517</v>
      </c>
      <c r="C455" s="13">
        <f>A455*$B$50*(VLOOKUP(E$18,'Aging Factor'!$A$145:$G$242,5,1)*(G$18/L$18/12500)*('Degradation Model'!$B$26/F$18))</f>
        <v>5.4927829449656986</v>
      </c>
      <c r="D455" s="13">
        <f>D454+(C453*100/I454)</f>
        <v>6.0220719530077851</v>
      </c>
      <c r="E455" s="13">
        <f>((VLOOKUP(E$18,'Aging Factor'!$A$145:$H$242,8,1)-1)*F455*J$18/7)</f>
        <v>1.7857849189730568</v>
      </c>
      <c r="F455" s="13">
        <f t="shared" si="153"/>
        <v>16.852924826909302</v>
      </c>
      <c r="G455" s="13">
        <f t="shared" si="154"/>
        <v>18.638709745882359</v>
      </c>
      <c r="H455" s="13">
        <f t="shared" si="160"/>
        <v>3.9212255946994787</v>
      </c>
      <c r="I455" s="13">
        <f t="shared" si="155"/>
        <v>81.361290254117648</v>
      </c>
      <c r="J455" s="14">
        <f t="shared" si="156"/>
        <v>228.62522561407059</v>
      </c>
      <c r="K455" s="15">
        <f t="shared" si="157"/>
        <v>67.173734302332008</v>
      </c>
      <c r="L455" s="14">
        <f t="shared" si="158"/>
        <v>188.75819338955296</v>
      </c>
    </row>
    <row r="456" spans="1:12">
      <c r="A456" s="28">
        <f t="shared" si="159"/>
        <v>4</v>
      </c>
      <c r="B456" s="13">
        <f>(VLOOKUP(E$18,'Aging Factor'!$A$145:$G$242,5,1)*(SQRT(A456+K$18-L$18)*Calibration!$B$49)-((0.32989795*(A456+K$18-L$18)-1.302)))</f>
        <v>11.985379944301702</v>
      </c>
      <c r="C456" s="13">
        <f>A456*$B$50*(VLOOKUP(E$18,'Aging Factor'!$A$145:$G$242,5,1)*(G$18/L$18/12500)*('Degradation Model'!$B$26/F$18))</f>
        <v>7.3237105932875979</v>
      </c>
      <c r="D456" s="13">
        <f>D455+(C453*100/I455)</f>
        <v>8.2724389796408673</v>
      </c>
      <c r="E456" s="13">
        <f>((VLOOKUP(E$18,'Aging Factor'!$A$145:$H$242,8,1)-1)*F456*J$18/7)</f>
        <v>2.14657739812028</v>
      </c>
      <c r="F456" s="13">
        <f t="shared" si="153"/>
        <v>20.257818923942569</v>
      </c>
      <c r="G456" s="13">
        <f t="shared" si="154"/>
        <v>22.404396322062848</v>
      </c>
      <c r="H456" s="13">
        <f t="shared" si="160"/>
        <v>3.7656865761804887</v>
      </c>
      <c r="I456" s="13">
        <f t="shared" si="155"/>
        <v>77.595603677937149</v>
      </c>
      <c r="J456" s="14">
        <f t="shared" si="156"/>
        <v>218.04364633500339</v>
      </c>
      <c r="K456" s="15">
        <f t="shared" si="157"/>
        <v>64.064697698510386</v>
      </c>
      <c r="L456" s="14">
        <f t="shared" si="158"/>
        <v>180.02180053281418</v>
      </c>
    </row>
    <row r="457" spans="1:12">
      <c r="A457" s="32">
        <f t="shared" si="159"/>
        <v>5</v>
      </c>
      <c r="B457" s="13">
        <f>(VLOOKUP(E$18,'Aging Factor'!$A$145:$G$242,5,1)*(SQRT(A457+K$18-L$18)*Calibration!$B$49)-((0.32989795*(A457+K$18-L$18)-1.302)))</f>
        <v>12.976933334451784</v>
      </c>
      <c r="C457" s="13">
        <f>A457*$B$50*(VLOOKUP(E$18,'Aging Factor'!$A$145:$G$242,5,1)*(G$18/L$18/12500)*('Degradation Model'!$B$26/F$18))</f>
        <v>9.1546382416094971</v>
      </c>
      <c r="D457" s="13">
        <f>D456+(C453*100/I456)</f>
        <v>10.632015504003277</v>
      </c>
      <c r="E457" s="13">
        <f>((VLOOKUP(E$18,'Aging Factor'!$A$145:$H$242,8,1)-1)*F457*J$18/7)</f>
        <v>2.5016728681540932</v>
      </c>
      <c r="F457" s="13">
        <f t="shared" si="153"/>
        <v>23.608948838455063</v>
      </c>
      <c r="G457" s="13">
        <f t="shared" si="154"/>
        <v>26.110621706609155</v>
      </c>
      <c r="H457" s="13">
        <f t="shared" si="160"/>
        <v>3.7062253845463076</v>
      </c>
      <c r="I457" s="13">
        <f t="shared" si="155"/>
        <v>73.889378293390848</v>
      </c>
      <c r="J457" s="33">
        <f t="shared" si="156"/>
        <v>207.6291530044283</v>
      </c>
      <c r="K457" s="15">
        <f t="shared" si="157"/>
        <v>61.004753608778209</v>
      </c>
      <c r="L457" s="14">
        <f t="shared" si="158"/>
        <v>171.42335764066675</v>
      </c>
    </row>
    <row r="458" spans="1:12">
      <c r="A458" s="28">
        <f t="shared" si="159"/>
        <v>6</v>
      </c>
      <c r="B458" s="13">
        <f>(VLOOKUP(E$18,'Aging Factor'!$A$145:$G$242,5,1)*(SQRT(A458+K$18-L$18)*Calibration!$B$49)-((0.32989795*(A458+K$18-L$18)-1.302)))</f>
        <v>13.849705584403328</v>
      </c>
      <c r="C458" s="13">
        <f>A458*$B$50*(VLOOKUP(E$18,'Aging Factor'!$A$145:$G$242,5,1)*(G$18/L$18/12500)*('Degradation Model'!$B$26/F$18))</f>
        <v>10.985565889931397</v>
      </c>
      <c r="D458" s="13">
        <f>D457+(C453*100/I457)</f>
        <v>13.109946284597854</v>
      </c>
      <c r="E458" s="13">
        <f>((VLOOKUP(E$18,'Aging Factor'!$A$145:$H$242,8,1)-1)*F458*J$18/7)</f>
        <v>2.856723104321552</v>
      </c>
      <c r="F458" s="13">
        <f t="shared" si="153"/>
        <v>26.959651869001181</v>
      </c>
      <c r="G458" s="13">
        <f t="shared" si="154"/>
        <v>29.816374973322734</v>
      </c>
      <c r="H458" s="13">
        <f t="shared" si="160"/>
        <v>3.7057532667135789</v>
      </c>
      <c r="I458" s="13">
        <f t="shared" si="155"/>
        <v>70.183625026677262</v>
      </c>
      <c r="J458" s="14">
        <f t="shared" si="156"/>
        <v>197.21598632496313</v>
      </c>
      <c r="K458" s="15">
        <f t="shared" si="157"/>
        <v>57.945199310281581</v>
      </c>
      <c r="L458" s="14">
        <f t="shared" si="158"/>
        <v>162.82601006189125</v>
      </c>
    </row>
    <row r="459" spans="1:12">
      <c r="A459" s="28">
        <f t="shared" si="159"/>
        <v>7</v>
      </c>
      <c r="B459" s="13">
        <f>(VLOOKUP(E$18,'Aging Factor'!$A$145:$G$242,5,1)*(SQRT(A459+K$18-L$18)*Calibration!$B$49)-((0.32989795*(A459+K$18-L$18)-1.302)))</f>
        <v>14.630925436825745</v>
      </c>
      <c r="C459" s="13">
        <f>A459*$B$50*(VLOOKUP(E$18,'Aging Factor'!$A$145:$G$242,5,1)*(G$18/L$18/12500)*('Degradation Model'!$B$26/F$18))</f>
        <v>12.816493538253296</v>
      </c>
      <c r="D459" s="13">
        <f>D458+(C453*100/I458)</f>
        <v>15.718713853423134</v>
      </c>
      <c r="E459" s="13">
        <f>((VLOOKUP(E$18,'Aging Factor'!$A$145:$H$242,8,1)-1)*F459*J$18/7)</f>
        <v>3.2159360287574539</v>
      </c>
      <c r="F459" s="13">
        <f t="shared" si="153"/>
        <v>30.349639290248881</v>
      </c>
      <c r="G459" s="13">
        <f t="shared" si="154"/>
        <v>33.565575319006335</v>
      </c>
      <c r="H459" s="13">
        <f t="shared" si="160"/>
        <v>3.7492003456836009</v>
      </c>
      <c r="I459" s="13">
        <f t="shared" si="155"/>
        <v>66.434424680993658</v>
      </c>
      <c r="J459" s="14">
        <f t="shared" si="156"/>
        <v>186.68073335359219</v>
      </c>
      <c r="K459" s="15">
        <f t="shared" si="157"/>
        <v>54.849774113845292</v>
      </c>
      <c r="L459" s="14">
        <f t="shared" si="158"/>
        <v>154.12786525990529</v>
      </c>
    </row>
    <row r="460" spans="1:12">
      <c r="A460" s="28">
        <f t="shared" si="159"/>
        <v>8</v>
      </c>
      <c r="B460" s="13">
        <f>(VLOOKUP(E$18,'Aging Factor'!$A$145:$G$242,5,1)*(SQRT(A460+K$18-L$18)*Calibration!$B$49)-((0.32989795*(A460+K$18-L$18)-1.302)))</f>
        <v>15.338778016357125</v>
      </c>
      <c r="C460" s="13">
        <f>A460*$B$50*(VLOOKUP(E$18,'Aging Factor'!$A$145:$G$242,5,1)*(G$18/L$18/12500)*('Degradation Model'!$B$26/F$18))</f>
        <v>14.647421186575196</v>
      </c>
      <c r="D460" s="13">
        <f>D459+(C453*100/I459)</f>
        <v>18.474706182872346</v>
      </c>
      <c r="E460" s="13">
        <f>((VLOOKUP(E$18,'Aging Factor'!$A$145:$H$242,8,1)-1)*F460*J$18/7)</f>
        <v>3.5829751073536138</v>
      </c>
      <c r="F460" s="13">
        <f t="shared" si="153"/>
        <v>33.813484199229471</v>
      </c>
      <c r="G460" s="13">
        <f t="shared" si="154"/>
        <v>37.396459306583083</v>
      </c>
      <c r="H460" s="13">
        <f t="shared" si="160"/>
        <v>3.8308839875767475</v>
      </c>
      <c r="I460" s="13">
        <f t="shared" si="155"/>
        <v>62.603540693416917</v>
      </c>
      <c r="J460" s="14">
        <f t="shared" si="156"/>
        <v>175.91594934850153</v>
      </c>
      <c r="K460" s="15">
        <f t="shared" si="157"/>
        <v>51.686909042251685</v>
      </c>
      <c r="L460" s="14">
        <f t="shared" si="158"/>
        <v>145.24021440872724</v>
      </c>
    </row>
    <row r="461" spans="1:12">
      <c r="A461" s="28">
        <f t="shared" si="159"/>
        <v>9</v>
      </c>
      <c r="B461" s="13">
        <f>(VLOOKUP(E$18,'Aging Factor'!$A$145:$G$242,5,1)*(SQRT(A461+K$18-L$18)*Calibration!$B$49)-((0.32989795*(A461+K$18-L$18)-1.302)))</f>
        <v>15.986123159826501</v>
      </c>
      <c r="C461" s="13">
        <f>A461*$B$50*(VLOOKUP(E$18,'Aging Factor'!$A$145:$G$242,5,1)*(G$18/L$18/12500)*('Degradation Model'!$B$26/F$18))</f>
        <v>16.478348834897094</v>
      </c>
      <c r="D461" s="13">
        <f>D460+(C453*100/I460)</f>
        <v>21.399345313569999</v>
      </c>
      <c r="E461" s="13">
        <f>((VLOOKUP(E$18,'Aging Factor'!$A$145:$H$242,8,1)-1)*F461*J$18/7)</f>
        <v>3.9614729475285899</v>
      </c>
      <c r="F461" s="13">
        <f t="shared" si="153"/>
        <v>37.3854684733965</v>
      </c>
      <c r="G461" s="13">
        <f t="shared" si="154"/>
        <v>41.346941420925091</v>
      </c>
      <c r="H461" s="13">
        <f t="shared" si="160"/>
        <v>3.9504821143420088</v>
      </c>
      <c r="I461" s="13">
        <f t="shared" si="155"/>
        <v>58.653058579074909</v>
      </c>
      <c r="J461" s="14">
        <f t="shared" si="156"/>
        <v>164.81509460720048</v>
      </c>
      <c r="K461" s="15">
        <f t="shared" si="157"/>
        <v>48.425301033257576</v>
      </c>
      <c r="L461" s="14">
        <f t="shared" si="158"/>
        <v>136.07509590345379</v>
      </c>
    </row>
    <row r="462" spans="1:12">
      <c r="A462" s="32">
        <f t="shared" si="159"/>
        <v>10</v>
      </c>
      <c r="B462" s="13">
        <f>(VLOOKUP(E$18,'Aging Factor'!$A$145:$G$242,5,1)*(SQRT(A462+K$18-L$18)*Calibration!$B$49)-((0.32989795*(A462+K$18-L$18)-1.302)))</f>
        <v>16.582452382933539</v>
      </c>
      <c r="C462" s="13">
        <f>A462*$B$50*(VLOOKUP(E$18,'Aging Factor'!$A$145:$G$242,5,1)*(G$18/L$18/12500)*('Degradation Model'!$B$26/F$18))</f>
        <v>18.309276483218994</v>
      </c>
      <c r="D462" s="13">
        <f>D461+(C453*100/I461)</f>
        <v>24.520968793534777</v>
      </c>
      <c r="E462" s="13">
        <f>((VLOOKUP(E$18,'Aging Factor'!$A$145:$H$242,8,1)-1)*F462*J$18/7)</f>
        <v>4.3554380268719353</v>
      </c>
      <c r="F462" s="13">
        <f t="shared" si="153"/>
        <v>41.103421176468316</v>
      </c>
      <c r="G462" s="13">
        <f t="shared" si="154"/>
        <v>45.458859203340253</v>
      </c>
      <c r="H462" s="13">
        <f t="shared" si="160"/>
        <v>4.111917782415162</v>
      </c>
      <c r="I462" s="13">
        <f t="shared" si="155"/>
        <v>54.541140796659747</v>
      </c>
      <c r="J462" s="33">
        <f t="shared" si="156"/>
        <v>153.2606056386139</v>
      </c>
      <c r="K462" s="15">
        <f t="shared" si="157"/>
        <v>45.030408059875668</v>
      </c>
      <c r="L462" s="14">
        <f t="shared" si="158"/>
        <v>126.53544664825061</v>
      </c>
    </row>
    <row r="463" spans="1:12">
      <c r="A463" s="28">
        <f t="shared" si="159"/>
        <v>11</v>
      </c>
      <c r="B463" s="13">
        <f>(VLOOKUP(E$18,'Aging Factor'!$A$145:$G$242,5,1)*(SQRT(A463+K$18-L$18)*Calibration!$B$49)-((0.32989795*(A463+K$18-L$18)-1.302)))</f>
        <v>17.135008143521652</v>
      </c>
      <c r="C463" s="13">
        <f>A463*$B$50*(VLOOKUP(E$18,'Aging Factor'!$A$145:$G$242,5,1)*(G$18/L$18/12500)*('Degradation Model'!$B$26/F$18))</f>
        <v>20.140204131540894</v>
      </c>
      <c r="D463" s="13">
        <f>D462+(C453*100/I462)</f>
        <v>27.877934969119487</v>
      </c>
      <c r="E463" s="13">
        <f>((VLOOKUP(E$18,'Aging Factor'!$A$145:$H$242,8,1)-1)*F463*J$18/7)</f>
        <v>4.7697023391926194</v>
      </c>
      <c r="F463" s="13">
        <f t="shared" si="153"/>
        <v>45.012943112641139</v>
      </c>
      <c r="G463" s="13">
        <f t="shared" si="154"/>
        <v>49.782645451833758</v>
      </c>
      <c r="H463" s="13">
        <f t="shared" si="160"/>
        <v>4.323786248493505</v>
      </c>
      <c r="I463" s="13">
        <f t="shared" si="155"/>
        <v>50.217354548166242</v>
      </c>
      <c r="J463" s="14">
        <f t="shared" si="156"/>
        <v>141.11076628034715</v>
      </c>
      <c r="K463" s="15">
        <f t="shared" si="157"/>
        <v>41.46059165542551</v>
      </c>
      <c r="L463" s="14">
        <f t="shared" si="158"/>
        <v>116.50426255174568</v>
      </c>
    </row>
    <row r="464" spans="1:12">
      <c r="A464" s="28">
        <f t="shared" si="159"/>
        <v>12</v>
      </c>
      <c r="B464" s="13">
        <f>(VLOOKUP(E$18,'Aging Factor'!$A$145:$G$242,5,1)*(SQRT(A464+K$18-L$18)*Calibration!$B$49)-((0.32989795*(A464+K$18-L$18)-1.302)))</f>
        <v>17.649465977138583</v>
      </c>
      <c r="C464" s="13">
        <f>A464*$B$50*(VLOOKUP(E$18,'Aging Factor'!$A$145:$G$242,5,1)*(G$18/L$18/12500)*('Degradation Model'!$B$26/F$18))</f>
        <v>21.971131779862795</v>
      </c>
      <c r="D464" s="13">
        <f>D463+(C453*100/I463)</f>
        <v>31.523940746994057</v>
      </c>
      <c r="E464" s="13">
        <f>((VLOOKUP(E$18,'Aging Factor'!$A$145:$H$242,8,1)-1)*F464*J$18/7)</f>
        <v>5.2105571611090271</v>
      </c>
      <c r="F464" s="13">
        <f t="shared" si="153"/>
        <v>49.17340672413264</v>
      </c>
      <c r="G464" s="13">
        <f t="shared" si="154"/>
        <v>54.38396388524167</v>
      </c>
      <c r="H464" s="13">
        <f t="shared" si="160"/>
        <v>4.6013184334079114</v>
      </c>
      <c r="I464" s="13">
        <f t="shared" si="155"/>
        <v>45.61603611475833</v>
      </c>
      <c r="J464" s="14">
        <f t="shared" si="156"/>
        <v>128.18106148247091</v>
      </c>
      <c r="K464" s="15">
        <f t="shared" si="157"/>
        <v>37.66163835809229</v>
      </c>
      <c r="L464" s="14">
        <f t="shared" si="158"/>
        <v>105.82920378623932</v>
      </c>
    </row>
    <row r="465" spans="1:12">
      <c r="A465" s="28">
        <f t="shared" si="159"/>
        <v>13</v>
      </c>
      <c r="B465" s="13">
        <f>(VLOOKUP(E$18,'Aging Factor'!$A$145:$G$242,5,1)*(SQRT(A465+K$18-L$18)*Calibration!$B$49)-((0.32989795*(A465+K$18-L$18)-1.302)))</f>
        <v>18.130371650236459</v>
      </c>
      <c r="C465" s="13">
        <f>A465*$B$50*(VLOOKUP(E$18,'Aging Factor'!$A$145:$G$242,5,1)*(G$18/L$18/12500)*('Degradation Model'!$B$26/F$18))</f>
        <v>23.802059428184695</v>
      </c>
      <c r="D465" s="13">
        <f>D464+(C453*100/I464)</f>
        <v>35.537721435249722</v>
      </c>
      <c r="E465" s="13">
        <f>((VLOOKUP(E$18,'Aging Factor'!$A$145:$H$242,8,1)-1)*F465*J$18/7)</f>
        <v>5.6868271974414109</v>
      </c>
      <c r="F465" s="13">
        <f t="shared" si="153"/>
        <v>53.668093085486177</v>
      </c>
      <c r="G465" s="13">
        <f t="shared" si="154"/>
        <v>59.354920282927587</v>
      </c>
      <c r="H465" s="13">
        <f t="shared" si="160"/>
        <v>4.9709563976859172</v>
      </c>
      <c r="I465" s="13">
        <f t="shared" si="155"/>
        <v>40.645079717072413</v>
      </c>
      <c r="J465" s="14">
        <f t="shared" si="156"/>
        <v>114.21267400497349</v>
      </c>
      <c r="K465" s="15">
        <f t="shared" si="157"/>
        <v>33.557503538650536</v>
      </c>
      <c r="L465" s="14">
        <f t="shared" si="158"/>
        <v>94.296584943607996</v>
      </c>
    </row>
    <row r="466" spans="1:12">
      <c r="A466" s="28">
        <f t="shared" si="159"/>
        <v>14</v>
      </c>
      <c r="B466" s="13">
        <f>(VLOOKUP(E$18,'Aging Factor'!$A$145:$G$242,5,1)*(SQRT(A466+K$18-L$18)*Calibration!$B$49)-((0.32989795*(A466+K$18-L$18)-1.302)))</f>
        <v>18.581432985010053</v>
      </c>
      <c r="C466" s="13">
        <f>A466*$B$50*(VLOOKUP(E$18,'Aging Factor'!$A$145:$G$242,5,1)*(G$18/L$18/12500)*('Degradation Model'!$B$26/F$18))</f>
        <v>25.632987076506591</v>
      </c>
      <c r="D466" s="13">
        <f>D465+(C453*100/I465)</f>
        <v>40.042393737695335</v>
      </c>
      <c r="E466" s="13">
        <f>((VLOOKUP(E$18,'Aging Factor'!$A$145:$H$242,8,1)-1)*F466*J$18/7)</f>
        <v>6.2119511437407997</v>
      </c>
      <c r="F466" s="13">
        <f t="shared" si="153"/>
        <v>58.623826722705388</v>
      </c>
      <c r="G466" s="13">
        <f t="shared" si="154"/>
        <v>64.835777866446193</v>
      </c>
      <c r="H466" s="13">
        <f t="shared" si="160"/>
        <v>5.4808575835186062</v>
      </c>
      <c r="I466" s="13">
        <f t="shared" si="155"/>
        <v>35.164222133553807</v>
      </c>
      <c r="J466" s="14">
        <f t="shared" si="156"/>
        <v>98.811464195286192</v>
      </c>
      <c r="K466" s="15">
        <f t="shared" si="157"/>
        <v>29.032382686777524</v>
      </c>
      <c r="L466" s="14">
        <f t="shared" si="158"/>
        <v>81.580995349844841</v>
      </c>
    </row>
    <row r="467" spans="1:12">
      <c r="A467" s="28">
        <f t="shared" si="159"/>
        <v>15</v>
      </c>
      <c r="B467" s="13">
        <f>(VLOOKUP(E$18,'Aging Factor'!$A$145:$G$242,5,1)*(SQRT(A467+K$18-L$18)*Calibration!$B$49)-((0.32989795*(A467+K$18-L$18)-1.302)))</f>
        <v>19.005721375433112</v>
      </c>
      <c r="C467" s="13">
        <f>A467*$B$50*(VLOOKUP(E$18,'Aging Factor'!$A$145:$G$242,5,1)*(G$18/L$18/12500)*('Degradation Model'!$B$26/F$18))</f>
        <v>27.463914724828491</v>
      </c>
      <c r="D467" s="13">
        <f>D466+(C453*100/I466)</f>
        <v>45.249185008004204</v>
      </c>
      <c r="E467" s="13">
        <f>((VLOOKUP(E$18,'Aging Factor'!$A$145:$H$242,8,1)-1)*F467*J$18/7)</f>
        <v>6.8086367184378753</v>
      </c>
      <c r="F467" s="13">
        <f t="shared" si="153"/>
        <v>64.254906383437316</v>
      </c>
      <c r="G467" s="13">
        <f t="shared" si="154"/>
        <v>71.063543101875197</v>
      </c>
      <c r="H467" s="13">
        <f t="shared" si="160"/>
        <v>6.2277652354290041</v>
      </c>
      <c r="I467" s="13">
        <f t="shared" si="155"/>
        <v>28.936456898124803</v>
      </c>
      <c r="J467" s="14">
        <f t="shared" si="156"/>
        <v>81.311443883730703</v>
      </c>
      <c r="K467" s="15">
        <f t="shared" si="157"/>
        <v>23.890597866067456</v>
      </c>
      <c r="L467" s="14">
        <f t="shared" si="158"/>
        <v>67.132580003649551</v>
      </c>
    </row>
    <row r="470" spans="1:12">
      <c r="A470" s="7" t="s">
        <v>102</v>
      </c>
    </row>
    <row r="472" spans="1:12">
      <c r="A472" s="29"/>
      <c r="B472" s="29" t="s">
        <v>54</v>
      </c>
      <c r="C472" s="29" t="s">
        <v>54</v>
      </c>
      <c r="D472" s="29" t="s">
        <v>2</v>
      </c>
      <c r="E472" s="29" t="s">
        <v>3</v>
      </c>
      <c r="F472" s="29" t="s">
        <v>4</v>
      </c>
      <c r="G472" s="29" t="s">
        <v>54</v>
      </c>
      <c r="H472" s="29" t="s">
        <v>55</v>
      </c>
      <c r="I472" s="29" t="s">
        <v>6</v>
      </c>
      <c r="J472" s="29" t="s">
        <v>7</v>
      </c>
      <c r="K472" s="29" t="s">
        <v>8</v>
      </c>
      <c r="L472" s="29" t="s">
        <v>8</v>
      </c>
    </row>
    <row r="473" spans="1:12">
      <c r="A473" s="29" t="s">
        <v>56</v>
      </c>
      <c r="B473" s="29" t="s">
        <v>9</v>
      </c>
      <c r="C473" s="29" t="s">
        <v>10</v>
      </c>
      <c r="D473" s="29" t="s">
        <v>10</v>
      </c>
      <c r="E473" s="29" t="s">
        <v>11</v>
      </c>
      <c r="F473" s="29" t="s">
        <v>10</v>
      </c>
      <c r="G473" s="29" t="s">
        <v>12</v>
      </c>
      <c r="H473" s="29" t="s">
        <v>57</v>
      </c>
      <c r="I473" s="29" t="s">
        <v>52</v>
      </c>
      <c r="J473" s="29" t="s">
        <v>14</v>
      </c>
      <c r="K473" s="29" t="s">
        <v>15</v>
      </c>
      <c r="L473" s="29" t="s">
        <v>14</v>
      </c>
    </row>
    <row r="474" spans="1:12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</row>
    <row r="475" spans="1:12">
      <c r="A475" s="32">
        <v>1</v>
      </c>
      <c r="B475" s="13">
        <f>(VLOOKUP(E$19,'Aging Factor'!$A$145:$G$242,5,1)*(SQRT(A475+K$19-L$19)*Calibration!$B$49)-((0.32989795*(A475+K$19-L$19)-1.302)))</f>
        <v>10.839512609777554</v>
      </c>
      <c r="C475" s="13">
        <f>A475*$B$50*(VLOOKUP(E$19,'Aging Factor'!$A$145:$G$242,5,1)*(G$19/L$19/12500)*('Degradation Model'!$B$26/F$19))</f>
        <v>1.7764977656139476</v>
      </c>
      <c r="D475" s="13">
        <f>C475</f>
        <v>1.7764977656139476</v>
      </c>
      <c r="E475" s="13">
        <f>((VLOOKUP(E$19,'Aging Factor'!$A$145:$H$242,8,1)-1)*F475*J$19/7)</f>
        <v>2.1708043179458203</v>
      </c>
      <c r="F475" s="13">
        <f t="shared" ref="F475:F489" si="161">B475+D475</f>
        <v>12.616010375391502</v>
      </c>
      <c r="G475" s="13">
        <f t="shared" ref="G475:G489" si="162">F475+E475</f>
        <v>14.786814693337323</v>
      </c>
      <c r="H475" s="13">
        <f>G475</f>
        <v>14.786814693337323</v>
      </c>
      <c r="I475" s="13">
        <f t="shared" ref="I475:I489" si="163">IF(100-G475&lt;=5,5,100-G475)</f>
        <v>85.21318530666268</v>
      </c>
      <c r="J475" s="33">
        <f t="shared" ref="J475:J489" si="164">IF(281*I475/100&gt;0,281*I475/100,0)</f>
        <v>239.44905071172212</v>
      </c>
      <c r="K475" s="15">
        <f t="shared" ref="K475:K489" si="165">IF(L475/281*100&gt;0,L475/281*100,0)</f>
        <v>70.353946587707256</v>
      </c>
      <c r="L475" s="14">
        <f t="shared" ref="L475:L489" si="166">IF(I475*232/100&gt;0,I475*232/100,0)</f>
        <v>197.6945899114574</v>
      </c>
    </row>
    <row r="476" spans="1:12">
      <c r="A476" s="28">
        <f t="shared" ref="A476:A489" si="167">A475+1</f>
        <v>2</v>
      </c>
      <c r="B476" s="13">
        <f>(VLOOKUP(E$19,'Aging Factor'!$A$145:$G$242,5,1)*(SQRT(A476+K$19-L$19)*Calibration!$B$49)-((0.32989795*(A476+K$19-L$19)-1.302)))</f>
        <v>13.435694492398541</v>
      </c>
      <c r="C476" s="13">
        <f>A476*$B$50*(VLOOKUP(E$19,'Aging Factor'!$A$145:$G$242,5,1)*(G$19/L$19/12500)*('Degradation Model'!$B$26/F$19))</f>
        <v>3.5529955312278951</v>
      </c>
      <c r="D476" s="13">
        <f>D475+(C475*100/I475)</f>
        <v>3.8612664070169656</v>
      </c>
      <c r="E476" s="13">
        <f>((VLOOKUP(E$19,'Aging Factor'!$A$145:$H$242,8,1)-1)*F476*J$19/7)</f>
        <v>2.976243383647819</v>
      </c>
      <c r="F476" s="13">
        <f t="shared" si="161"/>
        <v>17.296960899415506</v>
      </c>
      <c r="G476" s="13">
        <f t="shared" si="162"/>
        <v>20.273204283063325</v>
      </c>
      <c r="H476" s="13">
        <f t="shared" ref="H476:H489" si="168">G476-G475</f>
        <v>5.4863895897260022</v>
      </c>
      <c r="I476" s="13">
        <f t="shared" si="163"/>
        <v>79.726795716936678</v>
      </c>
      <c r="J476" s="14">
        <f t="shared" si="164"/>
        <v>224.03229596459204</v>
      </c>
      <c r="K476" s="15">
        <f t="shared" si="165"/>
        <v>65.824258385513559</v>
      </c>
      <c r="L476" s="14">
        <f t="shared" si="166"/>
        <v>184.96616606329309</v>
      </c>
    </row>
    <row r="477" spans="1:12">
      <c r="A477" s="28">
        <f t="shared" si="167"/>
        <v>3</v>
      </c>
      <c r="B477" s="13">
        <f>(VLOOKUP(E$19,'Aging Factor'!$A$145:$G$242,5,1)*(SQRT(A477+K$19-L$19)*Calibration!$B$49)-((0.32989795*(A477+K$19-L$19)-1.302)))</f>
        <v>15.483346758638772</v>
      </c>
      <c r="C477" s="13">
        <f>A477*$B$50*(VLOOKUP(E$19,'Aging Factor'!$A$145:$G$242,5,1)*(G$19/L$19/12500)*('Degradation Model'!$B$26/F$19))</f>
        <v>5.3294932968418429</v>
      </c>
      <c r="D477" s="13">
        <f>D476+(C475*100/I476)</f>
        <v>6.0894981447143568</v>
      </c>
      <c r="E477" s="13">
        <f>((VLOOKUP(E$19,'Aging Factor'!$A$145:$H$242,8,1)-1)*F477*J$19/7)</f>
        <v>3.7119836995315727</v>
      </c>
      <c r="F477" s="13">
        <f t="shared" si="161"/>
        <v>21.572844903353129</v>
      </c>
      <c r="G477" s="13">
        <f t="shared" si="162"/>
        <v>25.284828602884701</v>
      </c>
      <c r="H477" s="13">
        <f t="shared" si="168"/>
        <v>5.0116243198213759</v>
      </c>
      <c r="I477" s="13">
        <f t="shared" si="163"/>
        <v>74.715171397115299</v>
      </c>
      <c r="J477" s="14">
        <f t="shared" si="164"/>
        <v>209.949631625894</v>
      </c>
      <c r="K477" s="15">
        <f t="shared" si="165"/>
        <v>61.68654720331228</v>
      </c>
      <c r="L477" s="14">
        <f t="shared" si="166"/>
        <v>173.33919764130752</v>
      </c>
    </row>
    <row r="478" spans="1:12">
      <c r="A478" s="28">
        <f t="shared" si="167"/>
        <v>4</v>
      </c>
      <c r="B478" s="13">
        <f>(VLOOKUP(E$19,'Aging Factor'!$A$145:$G$242,5,1)*(SQRT(A478+K$19-L$19)*Calibration!$B$49)-((0.32989795*(A478+K$19-L$19)-1.302)))</f>
        <v>17.208926353554219</v>
      </c>
      <c r="C478" s="13">
        <f>A478*$B$50*(VLOOKUP(E$19,'Aging Factor'!$A$145:$G$242,5,1)*(G$19/L$19/12500)*('Degradation Model'!$B$26/F$19))</f>
        <v>7.1059910624557903</v>
      </c>
      <c r="D478" s="13">
        <f>D477+(C475*100/I477)</f>
        <v>8.4671916337271345</v>
      </c>
      <c r="E478" s="13">
        <f>((VLOOKUP(E$19,'Aging Factor'!$A$145:$H$242,8,1)-1)*F478*J$19/7)</f>
        <v>4.418023300265955</v>
      </c>
      <c r="F478" s="13">
        <f t="shared" si="161"/>
        <v>25.676117987281351</v>
      </c>
      <c r="G478" s="13">
        <f t="shared" si="162"/>
        <v>30.094141287547306</v>
      </c>
      <c r="H478" s="13">
        <f t="shared" si="168"/>
        <v>4.8093126846626042</v>
      </c>
      <c r="I478" s="13">
        <f t="shared" si="163"/>
        <v>69.905858712452698</v>
      </c>
      <c r="J478" s="14">
        <f t="shared" si="164"/>
        <v>196.43546298199209</v>
      </c>
      <c r="K478" s="15">
        <f t="shared" si="165"/>
        <v>57.715869114907562</v>
      </c>
      <c r="L478" s="14">
        <f t="shared" si="166"/>
        <v>162.18159221289025</v>
      </c>
    </row>
    <row r="479" spans="1:12">
      <c r="A479" s="32">
        <f t="shared" si="167"/>
        <v>5</v>
      </c>
      <c r="B479" s="13">
        <f>(VLOOKUP(E$19,'Aging Factor'!$A$145:$G$242,5,1)*(SQRT(A479+K$19-L$19)*Calibration!$B$49)-((0.32989795*(A479+K$19-L$19)-1.302)))</f>
        <v>18.716006058638143</v>
      </c>
      <c r="C479" s="13">
        <f>A479*$B$50*(VLOOKUP(E$19,'Aging Factor'!$A$145:$G$242,5,1)*(G$19/L$19/12500)*('Degradation Model'!$B$26/F$19))</f>
        <v>8.8824888280697376</v>
      </c>
      <c r="D479" s="13">
        <f>D478+(C475*100/I478)</f>
        <v>11.00846327867081</v>
      </c>
      <c r="E479" s="13">
        <f>((VLOOKUP(E$19,'Aging Factor'!$A$145:$H$242,8,1)-1)*F479*J$19/7)</f>
        <v>5.114612660111737</v>
      </c>
      <c r="F479" s="13">
        <f t="shared" si="161"/>
        <v>29.724469337308953</v>
      </c>
      <c r="G479" s="13">
        <f t="shared" si="162"/>
        <v>34.839081997420692</v>
      </c>
      <c r="H479" s="13">
        <f t="shared" si="168"/>
        <v>4.7449407098733865</v>
      </c>
      <c r="I479" s="13">
        <f t="shared" si="163"/>
        <v>65.160918002579308</v>
      </c>
      <c r="J479" s="33">
        <f t="shared" si="164"/>
        <v>183.10217958724786</v>
      </c>
      <c r="K479" s="15">
        <f t="shared" si="165"/>
        <v>53.798337995012105</v>
      </c>
      <c r="L479" s="14">
        <f t="shared" si="166"/>
        <v>151.17332976598399</v>
      </c>
    </row>
    <row r="480" spans="1:12">
      <c r="A480" s="28">
        <f t="shared" si="167"/>
        <v>6</v>
      </c>
      <c r="B480" s="13">
        <f>(VLOOKUP(E$19,'Aging Factor'!$A$145:$G$242,5,1)*(SQRT(A480+K$19-L$19)*Calibration!$B$49)-((0.32989795*(A480+K$19-L$19)-1.302)))</f>
        <v>20.062270775584366</v>
      </c>
      <c r="C480" s="13">
        <f>A480*$B$50*(VLOOKUP(E$19,'Aging Factor'!$A$145:$G$242,5,1)*(G$19/L$19/12500)*('Degradation Model'!$B$26/F$19))</f>
        <v>10.658986593683686</v>
      </c>
      <c r="D480" s="13">
        <f>D479+(C475*100/I479)</f>
        <v>13.734787308580314</v>
      </c>
      <c r="E480" s="13">
        <f>((VLOOKUP(E$19,'Aging Factor'!$A$145:$H$242,8,1)-1)*F480*J$19/7)</f>
        <v>5.8153724862241676</v>
      </c>
      <c r="F480" s="13">
        <f t="shared" si="161"/>
        <v>33.797058084164682</v>
      </c>
      <c r="G480" s="13">
        <f t="shared" si="162"/>
        <v>39.612430570388852</v>
      </c>
      <c r="H480" s="13">
        <f t="shared" si="168"/>
        <v>4.7733485729681604</v>
      </c>
      <c r="I480" s="13">
        <f t="shared" si="163"/>
        <v>60.387569429611148</v>
      </c>
      <c r="J480" s="14">
        <f t="shared" si="164"/>
        <v>169.68907009720732</v>
      </c>
      <c r="K480" s="15">
        <f t="shared" si="165"/>
        <v>49.857352696333763</v>
      </c>
      <c r="L480" s="14">
        <f t="shared" si="166"/>
        <v>140.09916107669787</v>
      </c>
    </row>
    <row r="481" spans="1:12">
      <c r="A481" s="28">
        <f t="shared" si="167"/>
        <v>7</v>
      </c>
      <c r="B481" s="13">
        <f>(VLOOKUP(E$19,'Aging Factor'!$A$145:$G$242,5,1)*(SQRT(A481+K$19-L$19)*Calibration!$B$49)-((0.32989795*(A481+K$19-L$19)-1.302)))</f>
        <v>21.283762306942013</v>
      </c>
      <c r="C481" s="13">
        <f>A481*$B$50*(VLOOKUP(E$19,'Aging Factor'!$A$145:$G$242,5,1)*(G$19/L$19/12500)*('Degradation Model'!$B$26/F$19))</f>
        <v>12.435484359297632</v>
      </c>
      <c r="D481" s="13">
        <f>D480+(C475*100/I480)</f>
        <v>16.676614215001287</v>
      </c>
      <c r="E481" s="13">
        <f>((VLOOKUP(E$19,'Aging Factor'!$A$145:$H$242,8,1)-1)*F481*J$19/7)</f>
        <v>6.5317439358975209</v>
      </c>
      <c r="F481" s="13">
        <f t="shared" si="161"/>
        <v>37.960376521943303</v>
      </c>
      <c r="G481" s="13">
        <f t="shared" si="162"/>
        <v>44.492120457840826</v>
      </c>
      <c r="H481" s="13">
        <f t="shared" si="168"/>
        <v>4.8796898874519741</v>
      </c>
      <c r="I481" s="13">
        <f t="shared" si="163"/>
        <v>55.507879542159174</v>
      </c>
      <c r="J481" s="14">
        <f t="shared" si="164"/>
        <v>155.97714151346727</v>
      </c>
      <c r="K481" s="15">
        <f t="shared" si="165"/>
        <v>45.828569586408996</v>
      </c>
      <c r="L481" s="14">
        <f t="shared" si="166"/>
        <v>128.77828053780928</v>
      </c>
    </row>
    <row r="482" spans="1:12">
      <c r="A482" s="28">
        <f t="shared" si="167"/>
        <v>8</v>
      </c>
      <c r="B482" s="13">
        <f>(VLOOKUP(E$19,'Aging Factor'!$A$145:$G$242,5,1)*(SQRT(A482+K$19-L$19)*Calibration!$B$49)-((0.32989795*(A482+K$19-L$19)-1.302)))</f>
        <v>22.404785070980477</v>
      </c>
      <c r="C482" s="13">
        <f>A482*$B$50*(VLOOKUP(E$19,'Aging Factor'!$A$145:$G$242,5,1)*(G$19/L$19/12500)*('Degradation Model'!$B$26/F$19))</f>
        <v>14.211982124911581</v>
      </c>
      <c r="D482" s="13">
        <f>D481+(C475*100/I481)</f>
        <v>19.87705671121422</v>
      </c>
      <c r="E482" s="13">
        <f>((VLOOKUP(E$19,'Aging Factor'!$A$145:$H$242,8,1)-1)*F482*J$19/7)</f>
        <v>7.2753273008181027</v>
      </c>
      <c r="F482" s="13">
        <f t="shared" si="161"/>
        <v>42.281841782194697</v>
      </c>
      <c r="G482" s="13">
        <f t="shared" si="162"/>
        <v>49.557169083012802</v>
      </c>
      <c r="H482" s="13">
        <f t="shared" si="168"/>
        <v>5.0650486251719755</v>
      </c>
      <c r="I482" s="13">
        <f t="shared" si="163"/>
        <v>50.442830916987198</v>
      </c>
      <c r="J482" s="14">
        <f t="shared" si="164"/>
        <v>141.74435487673404</v>
      </c>
      <c r="K482" s="15">
        <f t="shared" si="165"/>
        <v>41.646750080928932</v>
      </c>
      <c r="L482" s="14">
        <f t="shared" si="166"/>
        <v>117.02736772741029</v>
      </c>
    </row>
    <row r="483" spans="1:12">
      <c r="A483" s="28">
        <f t="shared" si="167"/>
        <v>9</v>
      </c>
      <c r="B483" s="13">
        <f>(VLOOKUP(E$19,'Aging Factor'!$A$145:$G$242,5,1)*(SQRT(A483+K$19-L$19)*Calibration!$B$49)-((0.32989795*(A483+K$19-L$19)-1.302)))</f>
        <v>23.442648483253414</v>
      </c>
      <c r="C483" s="13">
        <f>A483*$B$50*(VLOOKUP(E$19,'Aging Factor'!$A$145:$G$242,5,1)*(G$19/L$19/12500)*('Degradation Model'!$B$26/F$19))</f>
        <v>15.988479890525529</v>
      </c>
      <c r="D483" s="13">
        <f>D482+(C475*100/I482)</f>
        <v>23.398860966287643</v>
      </c>
      <c r="E483" s="13">
        <f>((VLOOKUP(E$19,'Aging Factor'!$A$145:$H$242,8,1)-1)*F483*J$19/7)</f>
        <v>8.0598975386470535</v>
      </c>
      <c r="F483" s="13">
        <f t="shared" si="161"/>
        <v>46.841509449541057</v>
      </c>
      <c r="G483" s="13">
        <f t="shared" si="162"/>
        <v>54.901406988188114</v>
      </c>
      <c r="H483" s="13">
        <f t="shared" si="168"/>
        <v>5.3442379051753122</v>
      </c>
      <c r="I483" s="13">
        <f t="shared" si="163"/>
        <v>45.098593011811886</v>
      </c>
      <c r="J483" s="14">
        <f t="shared" si="164"/>
        <v>126.72704636319141</v>
      </c>
      <c r="K483" s="15">
        <f t="shared" si="165"/>
        <v>37.234425547118711</v>
      </c>
      <c r="L483" s="14">
        <f t="shared" si="166"/>
        <v>104.62873578740357</v>
      </c>
    </row>
    <row r="484" spans="1:12">
      <c r="A484" s="32">
        <f t="shared" si="167"/>
        <v>10</v>
      </c>
      <c r="B484" s="13">
        <f>(VLOOKUP(E$19,'Aging Factor'!$A$145:$G$242,5,1)*(SQRT(A484+K$19-L$19)*Calibration!$B$49)-((0.32989795*(A484+K$19-L$19)-1.302)))</f>
        <v>24.410197822172606</v>
      </c>
      <c r="C484" s="13">
        <f>A484*$B$50*(VLOOKUP(E$19,'Aging Factor'!$A$145:$G$242,5,1)*(G$19/L$19/12500)*('Degradation Model'!$B$26/F$19))</f>
        <v>17.764977656139475</v>
      </c>
      <c r="D484" s="13">
        <f>D483+(C475*100/I483)</f>
        <v>27.33800329196654</v>
      </c>
      <c r="E484" s="13">
        <f>((VLOOKUP(E$19,'Aging Factor'!$A$145:$H$242,8,1)-1)*F484*J$19/7)</f>
        <v>8.9041792993148174</v>
      </c>
      <c r="F484" s="13">
        <f t="shared" si="161"/>
        <v>51.74820111413915</v>
      </c>
      <c r="G484" s="13">
        <f t="shared" si="162"/>
        <v>60.652380413453969</v>
      </c>
      <c r="H484" s="13">
        <f t="shared" si="168"/>
        <v>5.7509734252658546</v>
      </c>
      <c r="I484" s="13">
        <f t="shared" si="163"/>
        <v>39.347619586546031</v>
      </c>
      <c r="J484" s="33">
        <f t="shared" si="164"/>
        <v>110.56681103819436</v>
      </c>
      <c r="K484" s="15">
        <f t="shared" si="165"/>
        <v>32.48629090419459</v>
      </c>
      <c r="L484" s="14">
        <f t="shared" si="166"/>
        <v>91.286477440786783</v>
      </c>
    </row>
    <row r="485" spans="1:12">
      <c r="A485" s="28">
        <f t="shared" si="167"/>
        <v>11</v>
      </c>
      <c r="B485" s="13">
        <f>(VLOOKUP(E$19,'Aging Factor'!$A$145:$G$242,5,1)*(SQRT(A485+K$19-L$19)*Calibration!$B$49)-((0.32989795*(A485+K$19-L$19)-1.302)))</f>
        <v>25.317276922125195</v>
      </c>
      <c r="C485" s="13">
        <f>A485*$B$50*(VLOOKUP(E$19,'Aging Factor'!$A$145:$G$242,5,1)*(G$19/L$19/12500)*('Degradation Model'!$B$26/F$19))</f>
        <v>19.541475421753422</v>
      </c>
      <c r="D485" s="13">
        <f>D484+(C475*100/I484)</f>
        <v>31.852883186305505</v>
      </c>
      <c r="E485" s="13">
        <f>((VLOOKUP(E$19,'Aging Factor'!$A$145:$H$242,8,1)-1)*F485*J$19/7)</f>
        <v>9.8371217784595384</v>
      </c>
      <c r="F485" s="13">
        <f t="shared" si="161"/>
        <v>57.1701601084307</v>
      </c>
      <c r="G485" s="13">
        <f t="shared" si="162"/>
        <v>67.00728188689024</v>
      </c>
      <c r="H485" s="13">
        <f t="shared" si="168"/>
        <v>6.3549014734362714</v>
      </c>
      <c r="I485" s="13">
        <f t="shared" si="163"/>
        <v>32.99271811310976</v>
      </c>
      <c r="J485" s="14">
        <f t="shared" si="164"/>
        <v>92.709537897838416</v>
      </c>
      <c r="K485" s="15">
        <f t="shared" si="165"/>
        <v>27.239539509756099</v>
      </c>
      <c r="L485" s="14">
        <f t="shared" si="166"/>
        <v>76.543106022414634</v>
      </c>
    </row>
    <row r="486" spans="1:12">
      <c r="A486" s="28">
        <f t="shared" si="167"/>
        <v>12</v>
      </c>
      <c r="B486" s="13">
        <f>(VLOOKUP(E$19,'Aging Factor'!$A$145:$G$242,5,1)*(SQRT(A486+K$19-L$19)*Calibration!$B$49)-((0.32989795*(A486+K$19-L$19)-1.302)))</f>
        <v>26.171626914818859</v>
      </c>
      <c r="C486" s="13">
        <f>A486*$B$50*(VLOOKUP(E$19,'Aging Factor'!$A$145:$G$242,5,1)*(G$19/L$19/12500)*('Degradation Model'!$B$26/F$19))</f>
        <v>21.317973187367372</v>
      </c>
      <c r="D486" s="13">
        <f>D485+(C475*100/I485)</f>
        <v>37.237397913232627</v>
      </c>
      <c r="E486" s="13">
        <f>((VLOOKUP(E$19,'Aging Factor'!$A$145:$H$242,8,1)-1)*F486*J$19/7)</f>
        <v>10.910627115681676</v>
      </c>
      <c r="F486" s="13">
        <f t="shared" si="161"/>
        <v>63.409024828051486</v>
      </c>
      <c r="G486" s="13">
        <f t="shared" si="162"/>
        <v>74.319651943733163</v>
      </c>
      <c r="H486" s="13">
        <f t="shared" si="168"/>
        <v>7.3123700568429228</v>
      </c>
      <c r="I486" s="13">
        <f t="shared" si="163"/>
        <v>25.680348056266837</v>
      </c>
      <c r="J486" s="14">
        <f t="shared" si="164"/>
        <v>72.161778038109816</v>
      </c>
      <c r="K486" s="15">
        <f t="shared" si="165"/>
        <v>21.202280245743438</v>
      </c>
      <c r="L486" s="14">
        <f t="shared" si="166"/>
        <v>59.578407490539064</v>
      </c>
    </row>
    <row r="487" spans="1:12">
      <c r="A487" s="28">
        <f t="shared" si="167"/>
        <v>13</v>
      </c>
      <c r="B487" s="13">
        <f>(VLOOKUP(E$19,'Aging Factor'!$A$145:$G$242,5,1)*(SQRT(A487+K$19-L$19)*Calibration!$B$49)-((0.32989795*(A487+K$19-L$19)-1.302)))</f>
        <v>26.979465988313539</v>
      </c>
      <c r="C487" s="13">
        <f>A487*$B$50*(VLOOKUP(E$19,'Aging Factor'!$A$145:$G$242,5,1)*(G$19/L$19/12500)*('Degradation Model'!$B$26/F$19))</f>
        <v>23.094470952981318</v>
      </c>
      <c r="D487" s="13">
        <f>D486+(C475*100/I486)</f>
        <v>44.155130343188631</v>
      </c>
      <c r="E487" s="13">
        <f>((VLOOKUP(E$19,'Aging Factor'!$A$145:$H$242,8,1)-1)*F487*J$19/7)</f>
        <v>12.239946249011057</v>
      </c>
      <c r="F487" s="13">
        <f t="shared" si="161"/>
        <v>71.134596331502166</v>
      </c>
      <c r="G487" s="13">
        <f t="shared" si="162"/>
        <v>83.374542580513221</v>
      </c>
      <c r="H487" s="13">
        <f t="shared" si="168"/>
        <v>9.0548906367800583</v>
      </c>
      <c r="I487" s="13">
        <f t="shared" si="163"/>
        <v>16.625457419486779</v>
      </c>
      <c r="J487" s="14">
        <f t="shared" si="164"/>
        <v>46.717535348757849</v>
      </c>
      <c r="K487" s="15">
        <f t="shared" si="165"/>
        <v>13.72635630363321</v>
      </c>
      <c r="L487" s="14">
        <f t="shared" si="166"/>
        <v>38.571061213209326</v>
      </c>
    </row>
    <row r="488" spans="1:12">
      <c r="A488" s="28">
        <f t="shared" si="167"/>
        <v>14</v>
      </c>
      <c r="B488" s="13">
        <f>(VLOOKUP(E$19,'Aging Factor'!$A$145:$G$242,5,1)*(SQRT(A488+K$19-L$19)*Calibration!$B$49)-((0.32989795*(A488+K$19-L$19)-1.302)))</f>
        <v>27.745878504707267</v>
      </c>
      <c r="C488" s="13">
        <f>A488*$B$50*(VLOOKUP(E$19,'Aging Factor'!$A$145:$G$242,5,1)*(G$19/L$19/12500)*('Degradation Model'!$B$26/F$19))</f>
        <v>24.870968718595265</v>
      </c>
      <c r="D488" s="13">
        <f>D487+(C475*100/I487)</f>
        <v>54.840537191193341</v>
      </c>
      <c r="E488" s="13">
        <f>((VLOOKUP(E$19,'Aging Factor'!$A$145:$H$242,8,1)-1)*F488*J$19/7)</f>
        <v>14.210431226818494</v>
      </c>
      <c r="F488" s="13">
        <f t="shared" si="161"/>
        <v>82.586415695900612</v>
      </c>
      <c r="G488" s="13">
        <f t="shared" si="162"/>
        <v>96.796846922719112</v>
      </c>
      <c r="H488" s="13">
        <f t="shared" si="168"/>
        <v>13.422304342205891</v>
      </c>
      <c r="I488" s="13">
        <f t="shared" si="163"/>
        <v>5</v>
      </c>
      <c r="J488" s="14">
        <f t="shared" si="164"/>
        <v>14.05</v>
      </c>
      <c r="K488" s="15">
        <f t="shared" si="165"/>
        <v>4.1281138790035588</v>
      </c>
      <c r="L488" s="14">
        <f t="shared" si="166"/>
        <v>11.6</v>
      </c>
    </row>
    <row r="489" spans="1:12">
      <c r="A489" s="28">
        <f t="shared" si="167"/>
        <v>15</v>
      </c>
      <c r="B489" s="13">
        <f>(VLOOKUP(E$19,'Aging Factor'!$A$145:$G$242,5,1)*(SQRT(A489+K$19-L$19)*Calibration!$B$49)-((0.32989795*(A489+K$19-L$19)-1.302)))</f>
        <v>28.475084918961755</v>
      </c>
      <c r="C489" s="13">
        <f>A489*$B$50*(VLOOKUP(E$19,'Aging Factor'!$A$145:$G$242,5,1)*(G$19/L$19/12500)*('Degradation Model'!$B$26/F$19))</f>
        <v>26.647466484209215</v>
      </c>
      <c r="D489" s="13">
        <f>D488+(C475*100/I488)</f>
        <v>90.370492503472292</v>
      </c>
      <c r="E489" s="13">
        <f>((VLOOKUP(E$19,'Aging Factor'!$A$145:$H$242,8,1)-1)*F489*J$19/7)</f>
        <v>20.449451527133679</v>
      </c>
      <c r="F489" s="13">
        <f t="shared" si="161"/>
        <v>118.84557742243405</v>
      </c>
      <c r="G489" s="13">
        <f t="shared" si="162"/>
        <v>139.29502894956772</v>
      </c>
      <c r="H489" s="13">
        <f t="shared" si="168"/>
        <v>42.49818202684861</v>
      </c>
      <c r="I489" s="13">
        <f t="shared" si="163"/>
        <v>5</v>
      </c>
      <c r="J489" s="14">
        <f t="shared" si="164"/>
        <v>14.05</v>
      </c>
      <c r="K489" s="15">
        <f t="shared" si="165"/>
        <v>4.1281138790035588</v>
      </c>
      <c r="L489" s="14">
        <f t="shared" si="166"/>
        <v>11.6</v>
      </c>
    </row>
    <row r="492" spans="1:12">
      <c r="A492" s="7" t="s">
        <v>103</v>
      </c>
    </row>
    <row r="494" spans="1:12">
      <c r="A494" s="29"/>
      <c r="B494" s="29" t="s">
        <v>54</v>
      </c>
      <c r="C494" s="29" t="s">
        <v>54</v>
      </c>
      <c r="D494" s="29" t="s">
        <v>2</v>
      </c>
      <c r="E494" s="29" t="s">
        <v>3</v>
      </c>
      <c r="F494" s="29" t="s">
        <v>4</v>
      </c>
      <c r="G494" s="29" t="s">
        <v>54</v>
      </c>
      <c r="H494" s="29" t="s">
        <v>55</v>
      </c>
      <c r="I494" s="29" t="s">
        <v>6</v>
      </c>
      <c r="J494" s="29" t="s">
        <v>7</v>
      </c>
      <c r="K494" s="29" t="s">
        <v>8</v>
      </c>
      <c r="L494" s="29" t="s">
        <v>8</v>
      </c>
    </row>
    <row r="495" spans="1:12">
      <c r="A495" s="29" t="s">
        <v>56</v>
      </c>
      <c r="B495" s="29" t="s">
        <v>9</v>
      </c>
      <c r="C495" s="29" t="s">
        <v>10</v>
      </c>
      <c r="D495" s="29" t="s">
        <v>10</v>
      </c>
      <c r="E495" s="29" t="s">
        <v>11</v>
      </c>
      <c r="F495" s="29" t="s">
        <v>10</v>
      </c>
      <c r="G495" s="29" t="s">
        <v>12</v>
      </c>
      <c r="H495" s="29" t="s">
        <v>57</v>
      </c>
      <c r="I495" s="29" t="s">
        <v>52</v>
      </c>
      <c r="J495" s="29" t="s">
        <v>14</v>
      </c>
      <c r="K495" s="29" t="s">
        <v>15</v>
      </c>
      <c r="L495" s="29" t="s">
        <v>14</v>
      </c>
    </row>
    <row r="496" spans="1:12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</row>
    <row r="497" spans="1:12">
      <c r="A497" s="32">
        <v>1</v>
      </c>
      <c r="B497" s="13">
        <f>(VLOOKUP(E$20,'Aging Factor'!$A$145:$G$242,5,1)*(SQRT(A497+K$20-L$20)*Calibration!$B$49)-((0.32989795*(A497+K$20-L$20)-1.302)))</f>
        <v>6.8385472908330263</v>
      </c>
      <c r="C497" s="13">
        <f>A497*$B$50*(VLOOKUP(E$20,'Aging Factor'!$A$145:$G$242,5,1)*(G$20/L$20/12500)*('Degradation Model'!$B$26/F$20))</f>
        <v>2.0934344057761591</v>
      </c>
      <c r="D497" s="13">
        <f>C497</f>
        <v>2.0934344057761591</v>
      </c>
      <c r="E497" s="13">
        <f>((VLOOKUP(E$20,'Aging Factor'!$A$145:$H$242,8,1)-1)*F497*J$20/7)</f>
        <v>1.6563028171548686</v>
      </c>
      <c r="F497" s="13">
        <f t="shared" ref="F497:F511" si="169">B497+D497</f>
        <v>8.931981696609185</v>
      </c>
      <c r="G497" s="13">
        <f t="shared" ref="G497:G511" si="170">F497+E497</f>
        <v>10.588284513764053</v>
      </c>
      <c r="H497" s="13">
        <f>G497</f>
        <v>10.588284513764053</v>
      </c>
      <c r="I497" s="13">
        <f t="shared" ref="I497:I511" si="171">IF(100-G497&lt;=5,5,100-G497)</f>
        <v>89.411715486235948</v>
      </c>
      <c r="J497" s="33">
        <f t="shared" ref="J497:J511" si="172">IF(281*I497/100&gt;0,281*I497/100,0)</f>
        <v>251.246920516323</v>
      </c>
      <c r="K497" s="15">
        <f t="shared" ref="K497:K511" si="173">IF(L497/281*100&gt;0,L497/281*100,0)</f>
        <v>73.820348728849609</v>
      </c>
      <c r="L497" s="14">
        <f t="shared" ref="L497:L511" si="174">IF(I497*232/100&gt;0,I497*232/100,0)</f>
        <v>207.43517992806741</v>
      </c>
    </row>
    <row r="498" spans="1:12">
      <c r="A498" s="28">
        <f t="shared" ref="A498:A511" si="175">A497+1</f>
        <v>2</v>
      </c>
      <c r="B498" s="13">
        <f>(VLOOKUP(E$20,'Aging Factor'!$A$145:$G$242,5,1)*(SQRT(A498+K$20-L$20)*Calibration!$B$49)-((0.32989795*(A498+K$20-L$20)-1.302)))</f>
        <v>8.4965228601268095</v>
      </c>
      <c r="C498" s="13">
        <f>A498*$B$50*(VLOOKUP(E$20,'Aging Factor'!$A$145:$G$242,5,1)*(G$20/L$20/12500)*('Degradation Model'!$B$26/F$20))</f>
        <v>4.1868688115523183</v>
      </c>
      <c r="D498" s="13">
        <f>D497+(C497*100/I497)</f>
        <v>4.4347768063684203</v>
      </c>
      <c r="E498" s="13">
        <f>((VLOOKUP(E$20,'Aging Factor'!$A$145:$H$242,8,1)-1)*F498*J$20/7)</f>
        <v>2.3979166991823058</v>
      </c>
      <c r="F498" s="13">
        <f t="shared" si="169"/>
        <v>12.93129966649523</v>
      </c>
      <c r="G498" s="13">
        <f t="shared" si="170"/>
        <v>15.329216365677535</v>
      </c>
      <c r="H498" s="13">
        <f t="shared" ref="H498:H511" si="176">G498-G497</f>
        <v>4.7409318519134818</v>
      </c>
      <c r="I498" s="13">
        <f t="shared" si="171"/>
        <v>84.670783634322461</v>
      </c>
      <c r="J498" s="14">
        <f t="shared" si="172"/>
        <v>237.9249020124461</v>
      </c>
      <c r="K498" s="15">
        <f t="shared" si="173"/>
        <v>69.906127413390792</v>
      </c>
      <c r="L498" s="14">
        <f t="shared" si="174"/>
        <v>196.43621803162813</v>
      </c>
    </row>
    <row r="499" spans="1:12">
      <c r="A499" s="28">
        <f t="shared" si="175"/>
        <v>3</v>
      </c>
      <c r="B499" s="13">
        <f>(VLOOKUP(E$20,'Aging Factor'!$A$145:$G$242,5,1)*(SQRT(A499+K$20-L$20)*Calibration!$B$49)-((0.32989795*(A499+K$20-L$20)-1.302)))</f>
        <v>9.7485020237504756</v>
      </c>
      <c r="C499" s="13">
        <f>A499*$B$50*(VLOOKUP(E$20,'Aging Factor'!$A$145:$G$242,5,1)*(G$20/L$20/12500)*('Degradation Model'!$B$26/F$20))</f>
        <v>6.280303217328477</v>
      </c>
      <c r="D499" s="13">
        <f>D498+(C497*100/I498)</f>
        <v>6.9072169042625386</v>
      </c>
      <c r="E499" s="13">
        <f>((VLOOKUP(E$20,'Aging Factor'!$A$145:$H$242,8,1)-1)*F499*J$20/7)</f>
        <v>3.0885547148714316</v>
      </c>
      <c r="F499" s="13">
        <f t="shared" si="169"/>
        <v>16.655718928013016</v>
      </c>
      <c r="G499" s="13">
        <f t="shared" si="170"/>
        <v>19.744273642884448</v>
      </c>
      <c r="H499" s="13">
        <f t="shared" si="176"/>
        <v>4.4150572772069125</v>
      </c>
      <c r="I499" s="13">
        <f t="shared" si="171"/>
        <v>80.255726357115549</v>
      </c>
      <c r="J499" s="14">
        <f t="shared" si="172"/>
        <v>225.51859106349468</v>
      </c>
      <c r="K499" s="15">
        <f t="shared" si="173"/>
        <v>66.260955568864077</v>
      </c>
      <c r="L499" s="14">
        <f t="shared" si="174"/>
        <v>186.19328514850807</v>
      </c>
    </row>
    <row r="500" spans="1:12">
      <c r="A500" s="28">
        <f t="shared" si="175"/>
        <v>4</v>
      </c>
      <c r="B500" s="13">
        <f>(VLOOKUP(E$20,'Aging Factor'!$A$145:$G$242,5,1)*(SQRT(A500+K$20-L$20)*Calibration!$B$49)-((0.32989795*(A500+K$20-L$20)-1.302)))</f>
        <v>10.772961241216269</v>
      </c>
      <c r="C500" s="13">
        <f>A500*$B$50*(VLOOKUP(E$20,'Aging Factor'!$A$145:$G$242,5,1)*(G$20/L$20/12500)*('Degradation Model'!$B$26/F$20))</f>
        <v>8.3737376231046365</v>
      </c>
      <c r="D500" s="13">
        <f>D499+(C497*100/I499)</f>
        <v>9.5156717782000833</v>
      </c>
      <c r="E500" s="13">
        <f>((VLOOKUP(E$20,'Aging Factor'!$A$145:$H$242,8,1)-1)*F500*J$20/7)</f>
        <v>3.7622244612343532</v>
      </c>
      <c r="F500" s="13">
        <f t="shared" si="169"/>
        <v>20.288633019416352</v>
      </c>
      <c r="G500" s="13">
        <f t="shared" si="170"/>
        <v>24.050857480650706</v>
      </c>
      <c r="H500" s="13">
        <f t="shared" si="176"/>
        <v>4.306583837766258</v>
      </c>
      <c r="I500" s="13">
        <f t="shared" si="171"/>
        <v>75.949142519349294</v>
      </c>
      <c r="J500" s="14">
        <f t="shared" si="172"/>
        <v>213.4170904793715</v>
      </c>
      <c r="K500" s="15">
        <f t="shared" si="173"/>
        <v>62.705341866509023</v>
      </c>
      <c r="L500" s="14">
        <f t="shared" si="174"/>
        <v>176.20201064489035</v>
      </c>
    </row>
    <row r="501" spans="1:12">
      <c r="A501" s="32">
        <f t="shared" si="175"/>
        <v>5</v>
      </c>
      <c r="B501" s="13">
        <f>(VLOOKUP(E$20,'Aging Factor'!$A$145:$G$242,5,1)*(SQRT(A501+K$20-L$20)*Calibration!$B$49)-((0.32989795*(A501+K$20-L$20)-1.302)))</f>
        <v>11.646618287048428</v>
      </c>
      <c r="C501" s="13">
        <f>A501*$B$50*(VLOOKUP(E$20,'Aging Factor'!$A$145:$G$242,5,1)*(G$20/L$20/12500)*('Degradation Model'!$B$26/F$20))</f>
        <v>10.467172028880796</v>
      </c>
      <c r="D501" s="13">
        <f>D500+(C497*100/I500)</f>
        <v>12.272035229232888</v>
      </c>
      <c r="E501" s="13">
        <f>((VLOOKUP(E$20,'Aging Factor'!$A$145:$H$242,8,1)-1)*F501*J$20/7)</f>
        <v>4.4353576336377207</v>
      </c>
      <c r="F501" s="13">
        <f t="shared" si="169"/>
        <v>23.918653516281317</v>
      </c>
      <c r="G501" s="13">
        <f t="shared" si="170"/>
        <v>28.354011149919039</v>
      </c>
      <c r="H501" s="13">
        <f t="shared" si="176"/>
        <v>4.3031536692683332</v>
      </c>
      <c r="I501" s="13">
        <f t="shared" si="171"/>
        <v>71.645988850080954</v>
      </c>
      <c r="J501" s="33">
        <f t="shared" si="172"/>
        <v>201.32522866872748</v>
      </c>
      <c r="K501" s="15">
        <f t="shared" si="173"/>
        <v>59.152560189390677</v>
      </c>
      <c r="L501" s="14">
        <f t="shared" si="174"/>
        <v>166.21869413218781</v>
      </c>
    </row>
    <row r="502" spans="1:12">
      <c r="A502" s="28">
        <f t="shared" si="175"/>
        <v>6</v>
      </c>
      <c r="B502" s="13">
        <f>(VLOOKUP(E$20,'Aging Factor'!$A$145:$G$242,5,1)*(SQRT(A502+K$20-L$20)*Calibration!$B$49)-((0.32989795*(A502+K$20-L$20)-1.302)))</f>
        <v>12.410843391737391</v>
      </c>
      <c r="C502" s="13">
        <f>A502*$B$50*(VLOOKUP(E$20,'Aging Factor'!$A$145:$G$242,5,1)*(G$20/L$20/12500)*('Degradation Model'!$B$26/F$20))</f>
        <v>12.560606434656954</v>
      </c>
      <c r="D502" s="13">
        <f>D501+(C497*100/I501)</f>
        <v>15.193949546246035</v>
      </c>
      <c r="E502" s="13">
        <f>((VLOOKUP(E$20,'Aging Factor'!$A$145:$H$242,8,1)-1)*F502*J$20/7)</f>
        <v>5.1188972238395882</v>
      </c>
      <c r="F502" s="13">
        <f t="shared" si="169"/>
        <v>27.604792937983426</v>
      </c>
      <c r="G502" s="13">
        <f t="shared" si="170"/>
        <v>32.723690161823015</v>
      </c>
      <c r="H502" s="13">
        <f t="shared" si="176"/>
        <v>4.3696790119039761</v>
      </c>
      <c r="I502" s="13">
        <f t="shared" si="171"/>
        <v>67.276309838176985</v>
      </c>
      <c r="J502" s="14">
        <f t="shared" si="172"/>
        <v>189.04643064527733</v>
      </c>
      <c r="K502" s="15">
        <f t="shared" si="173"/>
        <v>55.544853674224413</v>
      </c>
      <c r="L502" s="14">
        <f t="shared" si="174"/>
        <v>156.08103882457061</v>
      </c>
    </row>
    <row r="503" spans="1:12">
      <c r="A503" s="28">
        <f t="shared" si="175"/>
        <v>7</v>
      </c>
      <c r="B503" s="13">
        <f>(VLOOKUP(E$20,'Aging Factor'!$A$145:$G$242,5,1)*(SQRT(A503+K$20-L$20)*Calibration!$B$49)-((0.32989795*(A503+K$20-L$20)-1.302)))</f>
        <v>13.090968466735827</v>
      </c>
      <c r="C503" s="13">
        <f>A503*$B$50*(VLOOKUP(E$20,'Aging Factor'!$A$145:$G$242,5,1)*(G$20/L$20/12500)*('Degradation Model'!$B$26/F$20))</f>
        <v>14.654040840433114</v>
      </c>
      <c r="D503" s="13">
        <f>D502+(C497*100/I502)</f>
        <v>18.305645789413354</v>
      </c>
      <c r="E503" s="13">
        <f>((VLOOKUP(E$20,'Aging Factor'!$A$145:$H$242,8,1)-1)*F503*J$20/7)</f>
        <v>5.8220339458740762</v>
      </c>
      <c r="F503" s="13">
        <f t="shared" si="169"/>
        <v>31.396614256149181</v>
      </c>
      <c r="G503" s="13">
        <f t="shared" si="170"/>
        <v>37.21864820202326</v>
      </c>
      <c r="H503" s="13">
        <f t="shared" si="176"/>
        <v>4.4949580402002454</v>
      </c>
      <c r="I503" s="13">
        <f t="shared" si="171"/>
        <v>62.78135179797674</v>
      </c>
      <c r="J503" s="14">
        <f t="shared" si="172"/>
        <v>176.41559855231463</v>
      </c>
      <c r="K503" s="15">
        <f t="shared" si="173"/>
        <v>51.833713939966565</v>
      </c>
      <c r="L503" s="14">
        <f t="shared" si="174"/>
        <v>145.65273617130603</v>
      </c>
    </row>
    <row r="504" spans="1:12">
      <c r="A504" s="28">
        <f t="shared" si="175"/>
        <v>8</v>
      </c>
      <c r="B504" s="13">
        <f>(VLOOKUP(E$20,'Aging Factor'!$A$145:$G$242,5,1)*(SQRT(A504+K$20-L$20)*Calibration!$B$49)-((0.32989795*(A504+K$20-L$20)-1.302)))</f>
        <v>13.703839923142272</v>
      </c>
      <c r="C504" s="13">
        <f>A504*$B$50*(VLOOKUP(E$20,'Aging Factor'!$A$145:$G$242,5,1)*(G$20/L$20/12500)*('Degradation Model'!$B$26/F$20))</f>
        <v>16.747475246209273</v>
      </c>
      <c r="D504" s="13">
        <f>D503+(C497*100/I503)</f>
        <v>21.640130227583136</v>
      </c>
      <c r="E504" s="13">
        <f>((VLOOKUP(E$20,'Aging Factor'!$A$145:$H$242,8,1)-1)*F504*J$20/7)</f>
        <v>6.5540122358633495</v>
      </c>
      <c r="F504" s="13">
        <f t="shared" si="169"/>
        <v>35.343970150725411</v>
      </c>
      <c r="G504" s="13">
        <f t="shared" si="170"/>
        <v>41.897982386588758</v>
      </c>
      <c r="H504" s="13">
        <f t="shared" si="176"/>
        <v>4.6793341845654979</v>
      </c>
      <c r="I504" s="13">
        <f t="shared" si="171"/>
        <v>58.102017613411242</v>
      </c>
      <c r="J504" s="14">
        <f t="shared" si="172"/>
        <v>163.26666949368558</v>
      </c>
      <c r="K504" s="15">
        <f t="shared" si="173"/>
        <v>47.970349061606434</v>
      </c>
      <c r="L504" s="14">
        <f t="shared" si="174"/>
        <v>134.79668086311409</v>
      </c>
    </row>
    <row r="505" spans="1:12">
      <c r="A505" s="28">
        <f t="shared" si="175"/>
        <v>9</v>
      </c>
      <c r="B505" s="13">
        <f>(VLOOKUP(E$20,'Aging Factor'!$A$145:$G$242,5,1)*(SQRT(A505+K$20-L$20)*Calibration!$B$49)-((0.32989795*(A505+K$20-L$20)-1.302)))</f>
        <v>14.261333904358512</v>
      </c>
      <c r="C505" s="13">
        <f>A505*$B$50*(VLOOKUP(E$20,'Aging Factor'!$A$145:$G$242,5,1)*(G$20/L$20/12500)*('Degradation Model'!$B$26/F$20))</f>
        <v>18.840909651985431</v>
      </c>
      <c r="D505" s="13">
        <f>D504+(C497*100/I504)</f>
        <v>25.243162431567988</v>
      </c>
      <c r="E505" s="13">
        <f>((VLOOKUP(E$20,'Aging Factor'!$A$145:$H$242,8,1)-1)*F505*J$20/7)</f>
        <v>7.3255197775784451</v>
      </c>
      <c r="F505" s="13">
        <f t="shared" si="169"/>
        <v>39.504496335926504</v>
      </c>
      <c r="G505" s="13">
        <f t="shared" si="170"/>
        <v>46.830016113504946</v>
      </c>
      <c r="H505" s="13">
        <f t="shared" si="176"/>
        <v>4.9320337269161882</v>
      </c>
      <c r="I505" s="13">
        <f t="shared" si="171"/>
        <v>53.169983886495054</v>
      </c>
      <c r="J505" s="14">
        <f t="shared" si="172"/>
        <v>149.4076547210511</v>
      </c>
      <c r="K505" s="15">
        <f t="shared" si="173"/>
        <v>43.898349685647162</v>
      </c>
      <c r="L505" s="14">
        <f t="shared" si="174"/>
        <v>123.35436261666854</v>
      </c>
    </row>
    <row r="506" spans="1:12">
      <c r="A506" s="32">
        <f t="shared" si="175"/>
        <v>10</v>
      </c>
      <c r="B506" s="13">
        <f>(VLOOKUP(E$20,'Aging Factor'!$A$145:$G$242,5,1)*(SQRT(A506+K$20-L$20)*Calibration!$B$49)-((0.32989795*(A506+K$20-L$20)-1.302)))</f>
        <v>14.772195076021466</v>
      </c>
      <c r="C506" s="13">
        <f>A506*$B$50*(VLOOKUP(E$20,'Aging Factor'!$A$145:$G$242,5,1)*(G$20/L$20/12500)*('Degradation Model'!$B$26/F$20))</f>
        <v>20.934344057761592</v>
      </c>
      <c r="D506" s="13">
        <f>D505+(C497*100/I505)</f>
        <v>29.180410955556884</v>
      </c>
      <c r="E506" s="13">
        <f>((VLOOKUP(E$20,'Aging Factor'!$A$145:$H$242,8,1)-1)*F506*J$20/7)</f>
        <v>8.1503553930297059</v>
      </c>
      <c r="F506" s="13">
        <f t="shared" si="169"/>
        <v>43.952606031578348</v>
      </c>
      <c r="G506" s="13">
        <f t="shared" si="170"/>
        <v>52.102961424608054</v>
      </c>
      <c r="H506" s="13">
        <f t="shared" si="176"/>
        <v>5.2729453111031077</v>
      </c>
      <c r="I506" s="13">
        <f t="shared" si="171"/>
        <v>47.897038575391946</v>
      </c>
      <c r="J506" s="33">
        <f t="shared" si="172"/>
        <v>134.59067839685136</v>
      </c>
      <c r="K506" s="15">
        <f t="shared" si="173"/>
        <v>39.544885941248864</v>
      </c>
      <c r="L506" s="14">
        <f t="shared" si="174"/>
        <v>111.12112949490931</v>
      </c>
    </row>
    <row r="507" spans="1:12">
      <c r="A507" s="28">
        <f t="shared" si="175"/>
        <v>11</v>
      </c>
      <c r="B507" s="13">
        <f>(VLOOKUP(E$20,'Aging Factor'!$A$145:$G$242,5,1)*(SQRT(A507+K$20-L$20)*Calibration!$B$49)-((0.32989795*(A507+K$20-L$20)-1.302)))</f>
        <v>15.243083499809044</v>
      </c>
      <c r="C507" s="13">
        <f>A507*$B$50*(VLOOKUP(E$20,'Aging Factor'!$A$145:$G$242,5,1)*(G$20/L$20/12500)*('Degradation Model'!$B$26/F$20))</f>
        <v>23.02777846353775</v>
      </c>
      <c r="D507" s="13">
        <f>D506+(C497*100/I506)</f>
        <v>33.551107908941603</v>
      </c>
      <c r="E507" s="13">
        <f>((VLOOKUP(E$20,'Aging Factor'!$A$145:$H$242,8,1)-1)*F507*J$20/7)</f>
        <v>9.0481552063399562</v>
      </c>
      <c r="F507" s="13">
        <f t="shared" si="169"/>
        <v>48.794191408750649</v>
      </c>
      <c r="G507" s="13">
        <f t="shared" si="170"/>
        <v>57.842346615090605</v>
      </c>
      <c r="H507" s="13">
        <f t="shared" si="176"/>
        <v>5.739385190482551</v>
      </c>
      <c r="I507" s="13">
        <f t="shared" si="171"/>
        <v>42.157653384909395</v>
      </c>
      <c r="J507" s="14">
        <f t="shared" si="172"/>
        <v>118.46300601159541</v>
      </c>
      <c r="K507" s="15">
        <f t="shared" si="173"/>
        <v>34.806318808893167</v>
      </c>
      <c r="L507" s="14">
        <f t="shared" si="174"/>
        <v>97.80575585298979</v>
      </c>
    </row>
    <row r="508" spans="1:12">
      <c r="A508" s="28">
        <f t="shared" si="175"/>
        <v>12</v>
      </c>
      <c r="B508" s="13">
        <f>(VLOOKUP(E$20,'Aging Factor'!$A$145:$G$242,5,1)*(SQRT(A508+K$20-L$20)*Calibration!$B$49)-((0.32989795*(A508+K$20-L$20)-1.302)))</f>
        <v>15.679210383352677</v>
      </c>
      <c r="C508" s="13">
        <f>A508*$B$50*(VLOOKUP(E$20,'Aging Factor'!$A$145:$G$242,5,1)*(G$20/L$20/12500)*('Degradation Model'!$B$26/F$20))</f>
        <v>25.121212869313908</v>
      </c>
      <c r="D508" s="13">
        <f>D507+(C497*100/I507)</f>
        <v>38.516835926729037</v>
      </c>
      <c r="E508" s="13">
        <f>((VLOOKUP(E$20,'Aging Factor'!$A$145:$H$242,8,1)-1)*F508*J$20/7)</f>
        <v>10.049848648494347</v>
      </c>
      <c r="F508" s="13">
        <f t="shared" si="169"/>
        <v>54.196046310081712</v>
      </c>
      <c r="G508" s="13">
        <f t="shared" si="170"/>
        <v>64.245894958576059</v>
      </c>
      <c r="H508" s="13">
        <f t="shared" si="176"/>
        <v>6.4035483434854541</v>
      </c>
      <c r="I508" s="13">
        <f t="shared" si="171"/>
        <v>35.754105041423941</v>
      </c>
      <c r="J508" s="14">
        <f t="shared" si="172"/>
        <v>100.46903516640128</v>
      </c>
      <c r="K508" s="15">
        <f t="shared" si="173"/>
        <v>29.519403450570653</v>
      </c>
      <c r="L508" s="14">
        <f t="shared" si="174"/>
        <v>82.94952369610354</v>
      </c>
    </row>
    <row r="509" spans="1:12">
      <c r="A509" s="28">
        <f t="shared" si="175"/>
        <v>13</v>
      </c>
      <c r="B509" s="13">
        <f>(VLOOKUP(E$20,'Aging Factor'!$A$145:$G$242,5,1)*(SQRT(A509+K$20-L$20)*Calibration!$B$49)-((0.32989795*(A509+K$20-L$20)-1.302)))</f>
        <v>16.084744344639287</v>
      </c>
      <c r="C509" s="13">
        <f>A509*$B$50*(VLOOKUP(E$20,'Aging Factor'!$A$145:$G$242,5,1)*(G$20/L$20/12500)*('Degradation Model'!$B$26/F$20))</f>
        <v>27.214647275090069</v>
      </c>
      <c r="D509" s="13">
        <f>D508+(C497*100/I508)</f>
        <v>44.371924184009565</v>
      </c>
      <c r="E509" s="13">
        <f>((VLOOKUP(E$20,'Aging Factor'!$A$145:$H$242,8,1)-1)*F509*J$20/7)</f>
        <v>11.21078768419475</v>
      </c>
      <c r="F509" s="13">
        <f t="shared" si="169"/>
        <v>60.456668528648848</v>
      </c>
      <c r="G509" s="13">
        <f t="shared" si="170"/>
        <v>71.667456212843604</v>
      </c>
      <c r="H509" s="13">
        <f t="shared" si="176"/>
        <v>7.4215612542675444</v>
      </c>
      <c r="I509" s="13">
        <f t="shared" si="171"/>
        <v>28.332543787156396</v>
      </c>
      <c r="J509" s="14">
        <f t="shared" si="172"/>
        <v>79.614448041909469</v>
      </c>
      <c r="K509" s="15">
        <f t="shared" si="173"/>
        <v>23.391993447047273</v>
      </c>
      <c r="L509" s="14">
        <f t="shared" si="174"/>
        <v>65.731501586202839</v>
      </c>
    </row>
    <row r="510" spans="1:12">
      <c r="A510" s="28">
        <f t="shared" si="175"/>
        <v>14</v>
      </c>
      <c r="B510" s="13">
        <f>(VLOOKUP(E$20,'Aging Factor'!$A$145:$G$242,5,1)*(SQRT(A510+K$20-L$20)*Calibration!$B$49)-((0.32989795*(A510+K$20-L$20)-1.302)))</f>
        <v>16.463081981518826</v>
      </c>
      <c r="C510" s="13">
        <f>A510*$B$50*(VLOOKUP(E$20,'Aging Factor'!$A$145:$G$242,5,1)*(G$20/L$20/12500)*('Degradation Model'!$B$26/F$20))</f>
        <v>29.308081680866227</v>
      </c>
      <c r="D510" s="13">
        <f>D509+(C497*100/I509)</f>
        <v>51.760722103118923</v>
      </c>
      <c r="E510" s="13">
        <f>((VLOOKUP(E$20,'Aging Factor'!$A$145:$H$242,8,1)-1)*F510*J$20/7)</f>
        <v>12.651087154075208</v>
      </c>
      <c r="F510" s="13">
        <f t="shared" si="169"/>
        <v>68.223804084637749</v>
      </c>
      <c r="G510" s="13">
        <f t="shared" si="170"/>
        <v>80.874891238712962</v>
      </c>
      <c r="H510" s="13">
        <f t="shared" si="176"/>
        <v>9.2074350258693585</v>
      </c>
      <c r="I510" s="13">
        <f t="shared" si="171"/>
        <v>19.125108761287038</v>
      </c>
      <c r="J510" s="14">
        <f t="shared" si="172"/>
        <v>53.741555619216577</v>
      </c>
      <c r="K510" s="15">
        <f t="shared" si="173"/>
        <v>15.790125382984316</v>
      </c>
      <c r="L510" s="14">
        <f t="shared" si="174"/>
        <v>44.370252326185927</v>
      </c>
    </row>
    <row r="511" spans="1:12">
      <c r="A511" s="28">
        <f t="shared" si="175"/>
        <v>15</v>
      </c>
      <c r="B511" s="13">
        <f>(VLOOKUP(E$20,'Aging Factor'!$A$145:$G$242,5,1)*(SQRT(A511+K$20-L$20)*Calibration!$B$49)-((0.32989795*(A511+K$20-L$20)-1.302)))</f>
        <v>16.817034343970761</v>
      </c>
      <c r="C511" s="13">
        <f>A511*$B$50*(VLOOKUP(E$20,'Aging Factor'!$A$145:$G$242,5,1)*(G$20/L$20/12500)*('Degradation Model'!$B$26/F$20))</f>
        <v>31.401516086642388</v>
      </c>
      <c r="D511" s="13">
        <f>D510+(C497*100/I510)</f>
        <v>62.706722107122459</v>
      </c>
      <c r="E511" s="13">
        <f>((VLOOKUP(E$20,'Aging Factor'!$A$145:$H$242,8,1)-1)*F511*J$20/7)</f>
        <v>14.74649482216091</v>
      </c>
      <c r="F511" s="13">
        <f t="shared" si="169"/>
        <v>79.52375645109322</v>
      </c>
      <c r="G511" s="13">
        <f t="shared" si="170"/>
        <v>94.270251273254132</v>
      </c>
      <c r="H511" s="13">
        <f t="shared" si="176"/>
        <v>13.39536003454117</v>
      </c>
      <c r="I511" s="13">
        <f t="shared" si="171"/>
        <v>5.7297487267458678</v>
      </c>
      <c r="J511" s="14">
        <f t="shared" si="172"/>
        <v>16.100593922155888</v>
      </c>
      <c r="K511" s="15">
        <f t="shared" si="173"/>
        <v>4.7306110484165176</v>
      </c>
      <c r="L511" s="14">
        <f t="shared" si="174"/>
        <v>13.293017046050414</v>
      </c>
    </row>
    <row r="514" spans="1:12">
      <c r="A514" s="7" t="s">
        <v>105</v>
      </c>
    </row>
    <row r="516" spans="1:12">
      <c r="A516" s="29"/>
      <c r="B516" s="29" t="s">
        <v>54</v>
      </c>
      <c r="C516" s="29" t="s">
        <v>54</v>
      </c>
      <c r="D516" s="29" t="s">
        <v>2</v>
      </c>
      <c r="E516" s="29" t="s">
        <v>3</v>
      </c>
      <c r="F516" s="29" t="s">
        <v>4</v>
      </c>
      <c r="G516" s="29" t="s">
        <v>54</v>
      </c>
      <c r="H516" s="29" t="s">
        <v>55</v>
      </c>
      <c r="I516" s="29" t="s">
        <v>6</v>
      </c>
      <c r="J516" s="29" t="s">
        <v>7</v>
      </c>
      <c r="K516" s="29" t="s">
        <v>8</v>
      </c>
      <c r="L516" s="29" t="s">
        <v>8</v>
      </c>
    </row>
    <row r="517" spans="1:12">
      <c r="A517" s="29" t="s">
        <v>56</v>
      </c>
      <c r="B517" s="29" t="s">
        <v>9</v>
      </c>
      <c r="C517" s="29" t="s">
        <v>10</v>
      </c>
      <c r="D517" s="29" t="s">
        <v>10</v>
      </c>
      <c r="E517" s="29" t="s">
        <v>11</v>
      </c>
      <c r="F517" s="29" t="s">
        <v>10</v>
      </c>
      <c r="G517" s="29" t="s">
        <v>12</v>
      </c>
      <c r="H517" s="29" t="s">
        <v>57</v>
      </c>
      <c r="I517" s="29" t="s">
        <v>52</v>
      </c>
      <c r="J517" s="29" t="s">
        <v>14</v>
      </c>
      <c r="K517" s="29" t="s">
        <v>15</v>
      </c>
      <c r="L517" s="29" t="s">
        <v>14</v>
      </c>
    </row>
    <row r="518" spans="1:12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</row>
    <row r="519" spans="1:12">
      <c r="A519" s="32">
        <v>1</v>
      </c>
      <c r="B519" s="13">
        <f>(VLOOKUP(E$21,'Aging Factor'!$A$145:$G$242,5,1)*(SQRT(A519+K$21-L$21)*Calibration!$B$49)-((0.32989795*(A519+K$21-L$21)-1.302)))</f>
        <v>12.859619419645922</v>
      </c>
      <c r="C519" s="13">
        <f>A519*$B$50*(VLOOKUP(E$21,'Aging Factor'!$A$145:$G$242,5,1)*(G$21/L$21/12500)*('Degradation Model'!$B$26/F$21))</f>
        <v>3.7436874993662568</v>
      </c>
      <c r="D519" s="13">
        <f>C519</f>
        <v>3.7436874993662568</v>
      </c>
      <c r="E519" s="13">
        <f>((VLOOKUP(E$21,'Aging Factor'!$A$145:$H$242,8,1)-1)*F519*J$21/7)</f>
        <v>0</v>
      </c>
      <c r="F519" s="13">
        <f t="shared" ref="F519:F533" si="177">B519+D519</f>
        <v>16.60330691901218</v>
      </c>
      <c r="G519" s="13">
        <f t="shared" ref="G519:G533" si="178">F519+E519</f>
        <v>16.60330691901218</v>
      </c>
      <c r="H519" s="13">
        <f>G519</f>
        <v>16.60330691901218</v>
      </c>
      <c r="I519" s="13">
        <f t="shared" ref="I519:I533" si="179">IF(100-G519&lt;=5,5,100-G519)</f>
        <v>83.396693080987816</v>
      </c>
      <c r="J519" s="33">
        <f t="shared" ref="J519:J533" si="180">IF(281*I519/100&gt;0,281*I519/100,0)</f>
        <v>234.34470755757576</v>
      </c>
      <c r="K519" s="15">
        <f t="shared" ref="K519:K533" si="181">IF(L519/281*100&gt;0,L519/281*100,0)</f>
        <v>68.854209234125179</v>
      </c>
      <c r="L519" s="14">
        <f t="shared" ref="L519:L533" si="182">IF(I519*232/100&gt;0,I519*232/100,0)</f>
        <v>193.48032794789174</v>
      </c>
    </row>
    <row r="520" spans="1:12">
      <c r="A520" s="28">
        <f t="shared" ref="A520:A533" si="183">A519+1</f>
        <v>2</v>
      </c>
      <c r="B520" s="13">
        <f>(VLOOKUP(E$21,'Aging Factor'!$A$145:$G$242,5,1)*(SQRT(A520+K$21-L$21)*Calibration!$B$49)-((0.32989795*(A520+K$21-L$21)-1.302)))</f>
        <v>16.992078705069442</v>
      </c>
      <c r="C520" s="13">
        <f>A520*$B$50*(VLOOKUP(E$21,'Aging Factor'!$A$145:$G$242,5,1)*(G$21/L$21/12500)*('Degradation Model'!$B$26/F$21))</f>
        <v>7.4873749987325136</v>
      </c>
      <c r="D520" s="13">
        <f>D519+(C519*100/I519)</f>
        <v>8.232699426650596</v>
      </c>
      <c r="E520" s="13">
        <f>((VLOOKUP(E$21,'Aging Factor'!$A$145:$H$242,8,1)-1)*F520*J$21/7)</f>
        <v>0</v>
      </c>
      <c r="F520" s="13">
        <f t="shared" si="177"/>
        <v>25.224778131720036</v>
      </c>
      <c r="G520" s="13">
        <f t="shared" si="178"/>
        <v>25.224778131720036</v>
      </c>
      <c r="H520" s="13">
        <f t="shared" ref="H520:H533" si="184">G520-G519</f>
        <v>8.6214712127078563</v>
      </c>
      <c r="I520" s="13">
        <f t="shared" si="179"/>
        <v>74.775221868279971</v>
      </c>
      <c r="J520" s="14">
        <f t="shared" si="180"/>
        <v>210.11837344986671</v>
      </c>
      <c r="K520" s="15">
        <f t="shared" si="181"/>
        <v>61.736126240003401</v>
      </c>
      <c r="L520" s="14">
        <f t="shared" si="182"/>
        <v>173.47851473440954</v>
      </c>
    </row>
    <row r="521" spans="1:12">
      <c r="A521" s="28">
        <f t="shared" si="183"/>
        <v>3</v>
      </c>
      <c r="B521" s="13">
        <f>(VLOOKUP(E$21,'Aging Factor'!$A$145:$G$242,5,1)*(SQRT(A521+K$21-L$21)*Calibration!$B$49)-((0.32989795*(A521+K$21-L$21)-1.302)))</f>
        <v>20.146746793360336</v>
      </c>
      <c r="C521" s="13">
        <f>A521*$B$50*(VLOOKUP(E$21,'Aging Factor'!$A$145:$G$242,5,1)*(G$21/L$21/12500)*('Degradation Model'!$B$26/F$21))</f>
        <v>11.231062498098771</v>
      </c>
      <c r="D521" s="13">
        <f>D520+(C519*100/I520)</f>
        <v>13.239287713290436</v>
      </c>
      <c r="E521" s="13">
        <f>((VLOOKUP(E$21,'Aging Factor'!$A$145:$H$242,8,1)-1)*F521*J$21/7)</f>
        <v>0</v>
      </c>
      <c r="F521" s="13">
        <f t="shared" si="177"/>
        <v>33.386034506650773</v>
      </c>
      <c r="G521" s="13">
        <f t="shared" si="178"/>
        <v>33.386034506650773</v>
      </c>
      <c r="H521" s="13">
        <f t="shared" si="184"/>
        <v>8.161256374930737</v>
      </c>
      <c r="I521" s="13">
        <f t="shared" si="179"/>
        <v>66.613965493349227</v>
      </c>
      <c r="J521" s="14">
        <f t="shared" si="180"/>
        <v>187.18524303631133</v>
      </c>
      <c r="K521" s="15">
        <f t="shared" si="181"/>
        <v>54.99800709771182</v>
      </c>
      <c r="L521" s="14">
        <f t="shared" si="182"/>
        <v>154.54439994457022</v>
      </c>
    </row>
    <row r="522" spans="1:12">
      <c r="A522" s="28">
        <f t="shared" si="183"/>
        <v>4</v>
      </c>
      <c r="B522" s="13">
        <f>(VLOOKUP(E$21,'Aging Factor'!$A$145:$G$242,5,1)*(SQRT(A522+K$21-L$21)*Calibration!$B$49)-((0.32989795*(A522+K$21-L$21)-1.302)))</f>
        <v>22.775727042435566</v>
      </c>
      <c r="C522" s="13">
        <f>A522*$B$50*(VLOOKUP(E$21,'Aging Factor'!$A$145:$G$242,5,1)*(G$21/L$21/12500)*('Degradation Model'!$B$26/F$21))</f>
        <v>14.974749997465027</v>
      </c>
      <c r="D522" s="13">
        <f>D521+(C519*100/I521)</f>
        <v>18.859261650647504</v>
      </c>
      <c r="E522" s="13">
        <f>((VLOOKUP(E$21,'Aging Factor'!$A$145:$H$242,8,1)-1)*F522*J$21/7)</f>
        <v>0</v>
      </c>
      <c r="F522" s="13">
        <f t="shared" si="177"/>
        <v>41.634988693083073</v>
      </c>
      <c r="G522" s="13">
        <f t="shared" si="178"/>
        <v>41.634988693083073</v>
      </c>
      <c r="H522" s="13">
        <f t="shared" si="184"/>
        <v>8.2489541864323002</v>
      </c>
      <c r="I522" s="13">
        <f t="shared" si="179"/>
        <v>58.365011306916927</v>
      </c>
      <c r="J522" s="14">
        <f t="shared" si="180"/>
        <v>164.00568177243656</v>
      </c>
      <c r="K522" s="15">
        <f t="shared" si="181"/>
        <v>48.187482644856686</v>
      </c>
      <c r="L522" s="14">
        <f t="shared" si="182"/>
        <v>135.40682623204728</v>
      </c>
    </row>
    <row r="523" spans="1:12">
      <c r="A523" s="32">
        <f t="shared" si="183"/>
        <v>5</v>
      </c>
      <c r="B523" s="13">
        <f>(VLOOKUP(E$21,'Aging Factor'!$A$145:$G$242,5,1)*(SQRT(A523+K$21-L$21)*Calibration!$B$49)-((0.32989795*(A523+K$21-L$21)-1.302)))</f>
        <v>25.0630227192406</v>
      </c>
      <c r="C523" s="13">
        <f>A523*$B$50*(VLOOKUP(E$21,'Aging Factor'!$A$145:$G$242,5,1)*(G$21/L$21/12500)*('Degradation Model'!$B$26/F$21))</f>
        <v>18.718437496831285</v>
      </c>
      <c r="D523" s="13">
        <f>D522+(C519*100/I522)</f>
        <v>25.273528375757497</v>
      </c>
      <c r="E523" s="13">
        <f>((VLOOKUP(E$21,'Aging Factor'!$A$145:$H$242,8,1)-1)*F523*J$21/7)</f>
        <v>0</v>
      </c>
      <c r="F523" s="13">
        <f t="shared" si="177"/>
        <v>50.3365510949981</v>
      </c>
      <c r="G523" s="13">
        <f t="shared" si="178"/>
        <v>50.3365510949981</v>
      </c>
      <c r="H523" s="13">
        <f t="shared" si="184"/>
        <v>8.7015624019150266</v>
      </c>
      <c r="I523" s="13">
        <f t="shared" si="179"/>
        <v>49.6634489050019</v>
      </c>
      <c r="J523" s="33">
        <f t="shared" si="180"/>
        <v>139.55429142305536</v>
      </c>
      <c r="K523" s="15">
        <f t="shared" si="181"/>
        <v>41.003274540784481</v>
      </c>
      <c r="L523" s="14">
        <f t="shared" si="182"/>
        <v>115.21920145960441</v>
      </c>
    </row>
    <row r="524" spans="1:12">
      <c r="A524" s="28">
        <f t="shared" si="183"/>
        <v>6</v>
      </c>
      <c r="B524" s="13">
        <f>(VLOOKUP(E$21,'Aging Factor'!$A$145:$G$242,5,1)*(SQRT(A524+K$21-L$21)*Calibration!$B$49)-((0.32989795*(A524+K$21-L$21)-1.302)))</f>
        <v>27.105219891172005</v>
      </c>
      <c r="C524" s="13">
        <f>A524*$B$50*(VLOOKUP(E$21,'Aging Factor'!$A$145:$G$242,5,1)*(G$21/L$21/12500)*('Degradation Model'!$B$26/F$21))</f>
        <v>22.462124996197542</v>
      </c>
      <c r="D524" s="13">
        <f>D523+(C519*100/I523)</f>
        <v>32.81164258632576</v>
      </c>
      <c r="E524" s="13">
        <f>((VLOOKUP(E$21,'Aging Factor'!$A$145:$H$242,8,1)-1)*F524*J$21/7)</f>
        <v>0</v>
      </c>
      <c r="F524" s="13">
        <f t="shared" si="177"/>
        <v>59.916862477497766</v>
      </c>
      <c r="G524" s="13">
        <f t="shared" si="178"/>
        <v>59.916862477497766</v>
      </c>
      <c r="H524" s="13">
        <f t="shared" si="184"/>
        <v>9.5803113824996657</v>
      </c>
      <c r="I524" s="13">
        <f t="shared" si="179"/>
        <v>40.083137522502234</v>
      </c>
      <c r="J524" s="14">
        <f t="shared" si="180"/>
        <v>112.63361643823127</v>
      </c>
      <c r="K524" s="15">
        <f t="shared" si="181"/>
        <v>33.093551264129957</v>
      </c>
      <c r="L524" s="14">
        <f t="shared" si="182"/>
        <v>92.992879052205183</v>
      </c>
    </row>
    <row r="525" spans="1:12">
      <c r="A525" s="28">
        <f t="shared" si="183"/>
        <v>7</v>
      </c>
      <c r="B525" s="13">
        <f>(VLOOKUP(E$21,'Aging Factor'!$A$145:$G$242,5,1)*(SQRT(A525+K$21-L$21)*Calibration!$B$49)-((0.32989795*(A525+K$21-L$21)-1.302)))</f>
        <v>28.960496517940417</v>
      </c>
      <c r="C525" s="13">
        <f>A525*$B$50*(VLOOKUP(E$21,'Aging Factor'!$A$145:$G$242,5,1)*(G$21/L$21/12500)*('Degradation Model'!$B$26/F$21))</f>
        <v>26.205812495563798</v>
      </c>
      <c r="D525" s="13">
        <f>D524+(C519*100/I524)</f>
        <v>42.151449125333819</v>
      </c>
      <c r="E525" s="13">
        <f>((VLOOKUP(E$21,'Aging Factor'!$A$145:$H$242,8,1)-1)*F525*J$21/7)</f>
        <v>0</v>
      </c>
      <c r="F525" s="13">
        <f t="shared" si="177"/>
        <v>71.11194564327424</v>
      </c>
      <c r="G525" s="13">
        <f t="shared" si="178"/>
        <v>71.11194564327424</v>
      </c>
      <c r="H525" s="13">
        <f t="shared" si="184"/>
        <v>11.195083165776474</v>
      </c>
      <c r="I525" s="13">
        <f t="shared" si="179"/>
        <v>28.88805435672576</v>
      </c>
      <c r="J525" s="14">
        <f t="shared" si="180"/>
        <v>81.175432742399394</v>
      </c>
      <c r="K525" s="15">
        <f t="shared" si="181"/>
        <v>23.850635625481768</v>
      </c>
      <c r="L525" s="14">
        <f t="shared" si="182"/>
        <v>67.020286107603766</v>
      </c>
    </row>
    <row r="526" spans="1:12">
      <c r="A526" s="28">
        <f t="shared" si="183"/>
        <v>8</v>
      </c>
      <c r="B526" s="13">
        <f>(VLOOKUP(E$21,'Aging Factor'!$A$145:$G$242,5,1)*(SQRT(A526+K$21-L$21)*Calibration!$B$49)-((0.32989795*(A526+K$21-L$21)-1.302)))</f>
        <v>30.667113189514357</v>
      </c>
      <c r="C526" s="13">
        <f>A526*$B$50*(VLOOKUP(E$21,'Aging Factor'!$A$145:$G$242,5,1)*(G$21/L$21/12500)*('Degradation Model'!$B$26/F$21))</f>
        <v>29.949499994930054</v>
      </c>
      <c r="D526" s="13">
        <f>D525+(C519*100/I525)</f>
        <v>55.110741755903959</v>
      </c>
      <c r="E526" s="13">
        <f>((VLOOKUP(E$21,'Aging Factor'!$A$145:$H$242,8,1)-1)*F526*J$21/7)</f>
        <v>0</v>
      </c>
      <c r="F526" s="13">
        <f t="shared" si="177"/>
        <v>85.777854945418312</v>
      </c>
      <c r="G526" s="13">
        <f t="shared" si="178"/>
        <v>85.777854945418312</v>
      </c>
      <c r="H526" s="13">
        <f t="shared" si="184"/>
        <v>14.665909302144073</v>
      </c>
      <c r="I526" s="13">
        <f t="shared" si="179"/>
        <v>14.222145054581688</v>
      </c>
      <c r="J526" s="14">
        <f t="shared" si="180"/>
        <v>39.964227603374546</v>
      </c>
      <c r="K526" s="15">
        <f t="shared" si="181"/>
        <v>11.742126877804097</v>
      </c>
      <c r="L526" s="14">
        <f t="shared" si="182"/>
        <v>32.995376526629514</v>
      </c>
    </row>
    <row r="527" spans="1:12">
      <c r="A527" s="28">
        <f t="shared" si="183"/>
        <v>9</v>
      </c>
      <c r="B527" s="13">
        <f>(VLOOKUP(E$21,'Aging Factor'!$A$145:$G$242,5,1)*(SQRT(A527+K$21-L$21)*Calibration!$B$49)-((0.32989795*(A527+K$21-L$21)-1.302)))</f>
        <v>32.251824603167776</v>
      </c>
      <c r="C527" s="13">
        <f>A527*$B$50*(VLOOKUP(E$21,'Aging Factor'!$A$145:$G$242,5,1)*(G$21/L$21/12500)*('Degradation Model'!$B$26/F$21))</f>
        <v>33.693187494296311</v>
      </c>
      <c r="D527" s="13">
        <f>D526+(C519*100/I526)</f>
        <v>81.433687310169859</v>
      </c>
      <c r="E527" s="13">
        <f>((VLOOKUP(E$21,'Aging Factor'!$A$145:$H$242,8,1)-1)*F527*J$21/7)</f>
        <v>0</v>
      </c>
      <c r="F527" s="13">
        <f t="shared" si="177"/>
        <v>113.68551191333763</v>
      </c>
      <c r="G527" s="13">
        <f t="shared" si="178"/>
        <v>113.68551191333763</v>
      </c>
      <c r="H527" s="13">
        <f t="shared" si="184"/>
        <v>27.907656967919323</v>
      </c>
      <c r="I527" s="13">
        <f t="shared" si="179"/>
        <v>5</v>
      </c>
      <c r="J527" s="14">
        <f t="shared" si="180"/>
        <v>14.05</v>
      </c>
      <c r="K527" s="15">
        <f t="shared" si="181"/>
        <v>4.1281138790035588</v>
      </c>
      <c r="L527" s="14">
        <f t="shared" si="182"/>
        <v>11.6</v>
      </c>
    </row>
    <row r="528" spans="1:12">
      <c r="A528" s="32">
        <f t="shared" si="183"/>
        <v>10</v>
      </c>
      <c r="B528" s="13">
        <f>(VLOOKUP(E$21,'Aging Factor'!$A$145:$G$242,5,1)*(SQRT(A528+K$21-L$21)*Calibration!$B$49)-((0.32989795*(A528+K$21-L$21)-1.302)))</f>
        <v>33.734209746012979</v>
      </c>
      <c r="C528" s="13">
        <f>A528*$B$50*(VLOOKUP(E$21,'Aging Factor'!$A$145:$G$242,5,1)*(G$21/L$21/12500)*('Degradation Model'!$B$26/F$21))</f>
        <v>37.43687499366257</v>
      </c>
      <c r="D528" s="13">
        <f>D527+(C519*100/I527)</f>
        <v>156.307437297495</v>
      </c>
      <c r="E528" s="13">
        <f>((VLOOKUP(E$21,'Aging Factor'!$A$145:$H$242,8,1)-1)*F528*J$21/7)</f>
        <v>0</v>
      </c>
      <c r="F528" s="13">
        <f t="shared" si="177"/>
        <v>190.04164704350796</v>
      </c>
      <c r="G528" s="13">
        <f t="shared" si="178"/>
        <v>190.04164704350796</v>
      </c>
      <c r="H528" s="13">
        <f t="shared" si="184"/>
        <v>76.35613513017033</v>
      </c>
      <c r="I528" s="13">
        <f t="shared" si="179"/>
        <v>5</v>
      </c>
      <c r="J528" s="33">
        <f t="shared" si="180"/>
        <v>14.05</v>
      </c>
      <c r="K528" s="15">
        <f t="shared" si="181"/>
        <v>4.1281138790035588</v>
      </c>
      <c r="L528" s="14">
        <f t="shared" si="182"/>
        <v>11.6</v>
      </c>
    </row>
    <row r="529" spans="1:12">
      <c r="A529" s="28">
        <f t="shared" si="183"/>
        <v>11</v>
      </c>
      <c r="B529" s="13">
        <f>(VLOOKUP(E$21,'Aging Factor'!$A$145:$G$242,5,1)*(SQRT(A529+K$21-L$21)*Calibration!$B$49)-((0.32989795*(A529+K$21-L$21)-1.302)))</f>
        <v>35.129108052697447</v>
      </c>
      <c r="C529" s="13">
        <f>A529*$B$50*(VLOOKUP(E$21,'Aging Factor'!$A$145:$G$242,5,1)*(G$21/L$21/12500)*('Degradation Model'!$B$26/F$21))</f>
        <v>41.180562493028823</v>
      </c>
      <c r="D529" s="13">
        <f>D528+(C519*100/I528)</f>
        <v>231.18118728482014</v>
      </c>
      <c r="E529" s="13">
        <f>((VLOOKUP(E$21,'Aging Factor'!$A$145:$H$242,8,1)-1)*F529*J$21/7)</f>
        <v>0</v>
      </c>
      <c r="F529" s="13">
        <f t="shared" si="177"/>
        <v>266.31029533751757</v>
      </c>
      <c r="G529" s="13">
        <f t="shared" si="178"/>
        <v>266.31029533751757</v>
      </c>
      <c r="H529" s="13">
        <f t="shared" si="184"/>
        <v>76.268648294009608</v>
      </c>
      <c r="I529" s="13">
        <f t="shared" si="179"/>
        <v>5</v>
      </c>
      <c r="J529" s="14">
        <f t="shared" si="180"/>
        <v>14.05</v>
      </c>
      <c r="K529" s="15">
        <f t="shared" si="181"/>
        <v>4.1281138790035588</v>
      </c>
      <c r="L529" s="14">
        <f t="shared" si="182"/>
        <v>11.6</v>
      </c>
    </row>
    <row r="530" spans="1:12">
      <c r="A530" s="28">
        <f t="shared" si="183"/>
        <v>12</v>
      </c>
      <c r="B530" s="13">
        <f>(VLOOKUP(E$21,'Aging Factor'!$A$145:$G$242,5,1)*(SQRT(A530+K$21-L$21)*Calibration!$B$49)-((0.32989795*(A530+K$21-L$21)-1.302)))</f>
        <v>36.448085270253038</v>
      </c>
      <c r="C530" s="13">
        <f>A530*$B$50*(VLOOKUP(E$21,'Aging Factor'!$A$145:$G$242,5,1)*(G$21/L$21/12500)*('Degradation Model'!$B$26/F$21))</f>
        <v>44.924249992395083</v>
      </c>
      <c r="D530" s="13">
        <f>D529+(C519*100/I529)</f>
        <v>306.05493727214525</v>
      </c>
      <c r="E530" s="13">
        <f>((VLOOKUP(E$21,'Aging Factor'!$A$145:$H$242,8,1)-1)*F530*J$21/7)</f>
        <v>0</v>
      </c>
      <c r="F530" s="13">
        <f t="shared" si="177"/>
        <v>342.5030225423983</v>
      </c>
      <c r="G530" s="13">
        <f t="shared" si="178"/>
        <v>342.5030225423983</v>
      </c>
      <c r="H530" s="13">
        <f t="shared" si="184"/>
        <v>76.192727204880725</v>
      </c>
      <c r="I530" s="13">
        <f t="shared" si="179"/>
        <v>5</v>
      </c>
      <c r="J530" s="14">
        <f t="shared" si="180"/>
        <v>14.05</v>
      </c>
      <c r="K530" s="15">
        <f t="shared" si="181"/>
        <v>4.1281138790035588</v>
      </c>
      <c r="L530" s="14">
        <f t="shared" si="182"/>
        <v>11.6</v>
      </c>
    </row>
    <row r="531" spans="1:12">
      <c r="A531" s="28">
        <f t="shared" si="183"/>
        <v>13</v>
      </c>
      <c r="B531" s="13">
        <f>(VLOOKUP(E$21,'Aging Factor'!$A$145:$G$242,5,1)*(SQRT(A531+K$21-L$21)*Calibration!$B$49)-((0.32989795*(A531+K$21-L$21)-1.302)))</f>
        <v>37.700363311514735</v>
      </c>
      <c r="C531" s="13">
        <f>A531*$B$50*(VLOOKUP(E$21,'Aging Factor'!$A$145:$G$242,5,1)*(G$21/L$21/12500)*('Degradation Model'!$B$26/F$21))</f>
        <v>48.667937491761336</v>
      </c>
      <c r="D531" s="13">
        <f>D530+(C519*100/I530)</f>
        <v>380.92868725947039</v>
      </c>
      <c r="E531" s="13">
        <f>((VLOOKUP(E$21,'Aging Factor'!$A$145:$H$242,8,1)-1)*F531*J$21/7)</f>
        <v>0</v>
      </c>
      <c r="F531" s="13">
        <f t="shared" si="177"/>
        <v>418.6290505709851</v>
      </c>
      <c r="G531" s="13">
        <f t="shared" si="178"/>
        <v>418.6290505709851</v>
      </c>
      <c r="H531" s="13">
        <f t="shared" si="184"/>
        <v>76.126028028586802</v>
      </c>
      <c r="I531" s="13">
        <f t="shared" si="179"/>
        <v>5</v>
      </c>
      <c r="J531" s="14">
        <f t="shared" si="180"/>
        <v>14.05</v>
      </c>
      <c r="K531" s="15">
        <f t="shared" si="181"/>
        <v>4.1281138790035588</v>
      </c>
      <c r="L531" s="14">
        <f t="shared" si="182"/>
        <v>11.6</v>
      </c>
    </row>
    <row r="532" spans="1:12">
      <c r="A532" s="28">
        <f t="shared" si="183"/>
        <v>14</v>
      </c>
      <c r="B532" s="13">
        <f>(VLOOKUP(E$21,'Aging Factor'!$A$145:$G$242,5,1)*(SQRT(A532+K$21-L$21)*Calibration!$B$49)-((0.32989795*(A532+K$21-L$21)-1.302)))</f>
        <v>38.893435802962877</v>
      </c>
      <c r="C532" s="13">
        <f>A532*$B$50*(VLOOKUP(E$21,'Aging Factor'!$A$145:$G$242,5,1)*(G$21/L$21/12500)*('Degradation Model'!$B$26/F$21))</f>
        <v>52.411624991127596</v>
      </c>
      <c r="D532" s="13">
        <f>D531+(C519*100/I531)</f>
        <v>455.80243724679553</v>
      </c>
      <c r="E532" s="13">
        <f>((VLOOKUP(E$21,'Aging Factor'!$A$145:$H$242,8,1)-1)*F532*J$21/7)</f>
        <v>0</v>
      </c>
      <c r="F532" s="13">
        <f t="shared" si="177"/>
        <v>494.6958730497584</v>
      </c>
      <c r="G532" s="13">
        <f t="shared" si="178"/>
        <v>494.6958730497584</v>
      </c>
      <c r="H532" s="13">
        <f t="shared" si="184"/>
        <v>76.066822478773304</v>
      </c>
      <c r="I532" s="13">
        <f t="shared" si="179"/>
        <v>5</v>
      </c>
      <c r="J532" s="14">
        <f t="shared" si="180"/>
        <v>14.05</v>
      </c>
      <c r="K532" s="15">
        <f t="shared" si="181"/>
        <v>4.1281138790035588</v>
      </c>
      <c r="L532" s="14">
        <f t="shared" si="182"/>
        <v>11.6</v>
      </c>
    </row>
    <row r="533" spans="1:12">
      <c r="A533" s="28">
        <f t="shared" si="183"/>
        <v>15</v>
      </c>
      <c r="B533" s="13">
        <f>(VLOOKUP(E$21,'Aging Factor'!$A$145:$G$242,5,1)*(SQRT(A533+K$21-L$21)*Calibration!$B$49)-((0.32989795*(A533+K$21-L$21)-1.302)))</f>
        <v>40.033490177070078</v>
      </c>
      <c r="C533" s="13">
        <f>A533*$B$50*(VLOOKUP(E$21,'Aging Factor'!$A$145:$G$242,5,1)*(G$21/L$21/12500)*('Degradation Model'!$B$26/F$21))</f>
        <v>56.155312490493849</v>
      </c>
      <c r="D533" s="13">
        <f>D532+(C519*100/I532)</f>
        <v>530.67618723412068</v>
      </c>
      <c r="E533" s="13">
        <f>((VLOOKUP(E$21,'Aging Factor'!$A$145:$H$242,8,1)-1)*F533*J$21/7)</f>
        <v>0</v>
      </c>
      <c r="F533" s="13">
        <f t="shared" si="177"/>
        <v>570.7096774111908</v>
      </c>
      <c r="G533" s="13">
        <f t="shared" si="178"/>
        <v>570.7096774111908</v>
      </c>
      <c r="H533" s="13">
        <f t="shared" si="184"/>
        <v>76.013804361432392</v>
      </c>
      <c r="I533" s="13">
        <f t="shared" si="179"/>
        <v>5</v>
      </c>
      <c r="J533" s="14">
        <f t="shared" si="180"/>
        <v>14.05</v>
      </c>
      <c r="K533" s="15">
        <f t="shared" si="181"/>
        <v>4.1281138790035588</v>
      </c>
      <c r="L533" s="14">
        <f t="shared" si="182"/>
        <v>11.6</v>
      </c>
    </row>
    <row r="536" spans="1:12">
      <c r="A536" s="7" t="s">
        <v>107</v>
      </c>
    </row>
    <row r="538" spans="1:12">
      <c r="A538" s="29"/>
      <c r="B538" s="29" t="s">
        <v>54</v>
      </c>
      <c r="C538" s="29" t="s">
        <v>54</v>
      </c>
      <c r="D538" s="29" t="s">
        <v>2</v>
      </c>
      <c r="E538" s="29" t="s">
        <v>3</v>
      </c>
      <c r="F538" s="29" t="s">
        <v>4</v>
      </c>
      <c r="G538" s="29" t="s">
        <v>54</v>
      </c>
      <c r="H538" s="29" t="s">
        <v>55</v>
      </c>
      <c r="I538" s="29" t="s">
        <v>6</v>
      </c>
      <c r="J538" s="29" t="s">
        <v>7</v>
      </c>
      <c r="K538" s="29" t="s">
        <v>8</v>
      </c>
      <c r="L538" s="29" t="s">
        <v>8</v>
      </c>
    </row>
    <row r="539" spans="1:12">
      <c r="A539" s="29" t="s">
        <v>56</v>
      </c>
      <c r="B539" s="29" t="s">
        <v>9</v>
      </c>
      <c r="C539" s="29" t="s">
        <v>10</v>
      </c>
      <c r="D539" s="29" t="s">
        <v>10</v>
      </c>
      <c r="E539" s="29" t="s">
        <v>11</v>
      </c>
      <c r="F539" s="29" t="s">
        <v>10</v>
      </c>
      <c r="G539" s="29" t="s">
        <v>12</v>
      </c>
      <c r="H539" s="29" t="s">
        <v>57</v>
      </c>
      <c r="I539" s="29" t="s">
        <v>52</v>
      </c>
      <c r="J539" s="29" t="s">
        <v>14</v>
      </c>
      <c r="K539" s="29" t="s">
        <v>15</v>
      </c>
      <c r="L539" s="29" t="s">
        <v>14</v>
      </c>
    </row>
    <row r="540" spans="1:12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</row>
    <row r="541" spans="1:12">
      <c r="A541" s="32">
        <v>1</v>
      </c>
      <c r="B541" s="13">
        <f>(VLOOKUP(E$22,'Aging Factor'!$A$145:$G$242,5,1)*(SQRT(A541+K$22-L$22)*Calibration!$B$49)-((0.32989795*(A541+K$22-L$22)-1.302)))</f>
        <v>6.7547042307018037</v>
      </c>
      <c r="C541" s="13">
        <f>A541*$B$50*(VLOOKUP(E$22,'Aging Factor'!$A$145:$G$242,5,1)*(G$22/L$22/12500)*('Degradation Model'!$B$26/F$22))</f>
        <v>1.1456956928100808</v>
      </c>
      <c r="D541" s="13">
        <f>C541</f>
        <v>1.1456956928100808</v>
      </c>
      <c r="E541" s="13">
        <f>((VLOOKUP(E$22,'Aging Factor'!$A$145:$H$242,8,1)-1)*F541*J$22/7)</f>
        <v>0</v>
      </c>
      <c r="F541" s="13">
        <f t="shared" ref="F541:F555" si="185">B541+D541</f>
        <v>7.900399923511884</v>
      </c>
      <c r="G541" s="13">
        <f t="shared" ref="G541:G555" si="186">F541+E541</f>
        <v>7.900399923511884</v>
      </c>
      <c r="H541" s="13">
        <f>G541</f>
        <v>7.900399923511884</v>
      </c>
      <c r="I541" s="13">
        <f t="shared" ref="I541:I555" si="187">IF(100-G541&lt;=5,5,100-G541)</f>
        <v>92.099600076488116</v>
      </c>
      <c r="J541" s="33">
        <f t="shared" ref="J541:J555" si="188">IF(281*I541/100&gt;0,281*I541/100,0)</f>
        <v>258.7998762149316</v>
      </c>
      <c r="K541" s="15">
        <f t="shared" ref="K541:K555" si="189">IF(L541/281*100&gt;0,L541/281*100,0)</f>
        <v>76.039527465285559</v>
      </c>
      <c r="L541" s="14">
        <f t="shared" ref="L541:L555" si="190">IF(I541*232/100&gt;0,I541*232/100,0)</f>
        <v>213.67107217745243</v>
      </c>
    </row>
    <row r="542" spans="1:12">
      <c r="A542" s="28">
        <f t="shared" ref="A542:A555" si="191">A541+1</f>
        <v>2</v>
      </c>
      <c r="B542" s="13">
        <f>(VLOOKUP(E$22,'Aging Factor'!$A$145:$G$242,5,1)*(SQRT(A542+K$22-L$22)*Calibration!$B$49)-((0.32989795*(A542+K$22-L$22)-1.302)))</f>
        <v>8.7061065809169182</v>
      </c>
      <c r="C542" s="13">
        <f>A542*$B$50*(VLOOKUP(E$22,'Aging Factor'!$A$145:$G$242,5,1)*(G$22/L$22/12500)*('Degradation Model'!$B$26/F$22))</f>
        <v>2.2913913856201615</v>
      </c>
      <c r="D542" s="13">
        <f>D541+(C541*100/I541)</f>
        <v>2.3896703592131789</v>
      </c>
      <c r="E542" s="13">
        <f>((VLOOKUP(E$22,'Aging Factor'!$A$145:$H$242,8,1)-1)*F542*J$22/7)</f>
        <v>0</v>
      </c>
      <c r="F542" s="13">
        <f t="shared" si="185"/>
        <v>11.095776940130097</v>
      </c>
      <c r="G542" s="13">
        <f t="shared" si="186"/>
        <v>11.095776940130097</v>
      </c>
      <c r="H542" s="13">
        <f t="shared" ref="H542:H555" si="192">G542-G541</f>
        <v>3.1953770166182132</v>
      </c>
      <c r="I542" s="13">
        <f t="shared" si="187"/>
        <v>88.904223059869906</v>
      </c>
      <c r="J542" s="14">
        <f t="shared" si="188"/>
        <v>249.82086679823442</v>
      </c>
      <c r="K542" s="15">
        <f t="shared" si="189"/>
        <v>73.401351423095434</v>
      </c>
      <c r="L542" s="14">
        <f t="shared" si="190"/>
        <v>206.25779749889819</v>
      </c>
    </row>
    <row r="543" spans="1:12">
      <c r="A543" s="28">
        <f t="shared" si="191"/>
        <v>3</v>
      </c>
      <c r="B543" s="13">
        <f>(VLOOKUP(E$22,'Aging Factor'!$A$145:$G$242,5,1)*(SQRT(A543+K$22-L$22)*Calibration!$B$49)-((0.32989795*(A543+K$22-L$22)-1.302)))</f>
        <v>10.142665435857772</v>
      </c>
      <c r="C543" s="13">
        <f>A543*$B$50*(VLOOKUP(E$22,'Aging Factor'!$A$145:$G$242,5,1)*(G$22/L$22/12500)*('Degradation Model'!$B$26/F$22))</f>
        <v>3.4370870784302423</v>
      </c>
      <c r="D543" s="13">
        <f>D542+(C541*100/I542)</f>
        <v>3.6783557032586987</v>
      </c>
      <c r="E543" s="13">
        <f>((VLOOKUP(E$22,'Aging Factor'!$A$145:$H$242,8,1)-1)*F543*J$22/7)</f>
        <v>0</v>
      </c>
      <c r="F543" s="13">
        <f t="shared" si="185"/>
        <v>13.821021139116471</v>
      </c>
      <c r="G543" s="13">
        <f t="shared" si="186"/>
        <v>13.821021139116471</v>
      </c>
      <c r="H543" s="13">
        <f t="shared" si="192"/>
        <v>2.725244198986374</v>
      </c>
      <c r="I543" s="13">
        <f t="shared" si="187"/>
        <v>86.178978860883532</v>
      </c>
      <c r="J543" s="14">
        <f t="shared" si="188"/>
        <v>242.16293059908273</v>
      </c>
      <c r="K543" s="15">
        <f t="shared" si="189"/>
        <v>71.151327742793526</v>
      </c>
      <c r="L543" s="14">
        <f t="shared" si="190"/>
        <v>199.93523095724981</v>
      </c>
    </row>
    <row r="544" spans="1:12">
      <c r="A544" s="28">
        <f t="shared" si="191"/>
        <v>4</v>
      </c>
      <c r="B544" s="13">
        <f>(VLOOKUP(E$22,'Aging Factor'!$A$145:$G$242,5,1)*(SQRT(A544+K$22-L$22)*Calibration!$B$49)-((0.32989795*(A544+K$22-L$22)-1.302)))</f>
        <v>11.307455804838265</v>
      </c>
      <c r="C544" s="13">
        <f>A544*$B$50*(VLOOKUP(E$22,'Aging Factor'!$A$145:$G$242,5,1)*(G$22/L$22/12500)*('Degradation Model'!$B$26/F$22))</f>
        <v>4.5827827712403231</v>
      </c>
      <c r="D544" s="13">
        <f>D543+(C541*100/I543)</f>
        <v>5.0077932389012911</v>
      </c>
      <c r="E544" s="13">
        <f>((VLOOKUP(E$22,'Aging Factor'!$A$145:$H$242,8,1)-1)*F544*J$22/7)</f>
        <v>0</v>
      </c>
      <c r="F544" s="13">
        <f t="shared" si="185"/>
        <v>16.315249043739556</v>
      </c>
      <c r="G544" s="13">
        <f t="shared" si="186"/>
        <v>16.315249043739556</v>
      </c>
      <c r="H544" s="13">
        <f t="shared" si="192"/>
        <v>2.4942279046230844</v>
      </c>
      <c r="I544" s="13">
        <f t="shared" si="187"/>
        <v>83.684750956260444</v>
      </c>
      <c r="J544" s="14">
        <f t="shared" si="188"/>
        <v>235.15415018709183</v>
      </c>
      <c r="K544" s="15">
        <f t="shared" si="189"/>
        <v>69.092036376699014</v>
      </c>
      <c r="L544" s="14">
        <f t="shared" si="190"/>
        <v>194.14862221852422</v>
      </c>
    </row>
    <row r="545" spans="1:12">
      <c r="A545" s="32">
        <f t="shared" si="191"/>
        <v>5</v>
      </c>
      <c r="B545" s="13">
        <f>(VLOOKUP(E$22,'Aging Factor'!$A$145:$G$242,5,1)*(SQRT(A545+K$22-L$22)*Calibration!$B$49)-((0.32989795*(A545+K$22-L$22)-1.302)))</f>
        <v>12.297063474297957</v>
      </c>
      <c r="C545" s="13">
        <f>A545*$B$50*(VLOOKUP(E$22,'Aging Factor'!$A$145:$G$242,5,1)*(G$22/L$22/12500)*('Degradation Model'!$B$26/F$22))</f>
        <v>5.7284784640504043</v>
      </c>
      <c r="D545" s="13">
        <f>D544+(C541*100/I544)</f>
        <v>6.3768547222877947</v>
      </c>
      <c r="E545" s="13">
        <f>((VLOOKUP(E$22,'Aging Factor'!$A$145:$H$242,8,1)-1)*F545*J$22/7)</f>
        <v>0</v>
      </c>
      <c r="F545" s="13">
        <f t="shared" si="185"/>
        <v>18.673918196585753</v>
      </c>
      <c r="G545" s="13">
        <f t="shared" si="186"/>
        <v>18.673918196585753</v>
      </c>
      <c r="H545" s="13">
        <f t="shared" si="192"/>
        <v>2.3586691528461969</v>
      </c>
      <c r="I545" s="13">
        <f t="shared" si="187"/>
        <v>81.32608180341424</v>
      </c>
      <c r="J545" s="33">
        <f t="shared" si="188"/>
        <v>228.52628986759402</v>
      </c>
      <c r="K545" s="15">
        <f t="shared" si="189"/>
        <v>67.14466540353061</v>
      </c>
      <c r="L545" s="14">
        <f t="shared" si="190"/>
        <v>188.67650978392103</v>
      </c>
    </row>
    <row r="546" spans="1:12">
      <c r="A546" s="28">
        <f t="shared" si="191"/>
        <v>6</v>
      </c>
      <c r="B546" s="13">
        <f>(VLOOKUP(E$22,'Aging Factor'!$A$145:$G$242,5,1)*(SQRT(A546+K$22-L$22)*Calibration!$B$49)-((0.32989795*(A546+K$22-L$22)-1.302)))</f>
        <v>13.161613299342562</v>
      </c>
      <c r="C546" s="13">
        <f>A546*$B$50*(VLOOKUP(E$22,'Aging Factor'!$A$145:$G$242,5,1)*(G$22/L$22/12500)*('Degradation Model'!$B$26/F$22))</f>
        <v>6.8741741568604846</v>
      </c>
      <c r="D546" s="13">
        <f>D545+(C541*100/I545)</f>
        <v>7.7856225706879147</v>
      </c>
      <c r="E546" s="13">
        <f>((VLOOKUP(E$22,'Aging Factor'!$A$145:$H$242,8,1)-1)*F546*J$22/7)</f>
        <v>0</v>
      </c>
      <c r="F546" s="13">
        <f t="shared" si="185"/>
        <v>20.947235870030475</v>
      </c>
      <c r="G546" s="13">
        <f t="shared" si="186"/>
        <v>20.947235870030475</v>
      </c>
      <c r="H546" s="13">
        <f t="shared" si="192"/>
        <v>2.2733176734447227</v>
      </c>
      <c r="I546" s="13">
        <f t="shared" si="187"/>
        <v>79.052764129969518</v>
      </c>
      <c r="J546" s="14">
        <f t="shared" si="188"/>
        <v>222.13826720521436</v>
      </c>
      <c r="K546" s="15">
        <f t="shared" si="189"/>
        <v>65.267762555704365</v>
      </c>
      <c r="L546" s="14">
        <f t="shared" si="190"/>
        <v>183.40241278152928</v>
      </c>
    </row>
    <row r="547" spans="1:12">
      <c r="A547" s="28">
        <f t="shared" si="191"/>
        <v>7</v>
      </c>
      <c r="B547" s="13">
        <f>(VLOOKUP(E$22,'Aging Factor'!$A$145:$G$242,5,1)*(SQRT(A547+K$22-L$22)*Calibration!$B$49)-((0.32989795*(A547+K$22-L$22)-1.302)))</f>
        <v>13.931091898312046</v>
      </c>
      <c r="C547" s="13">
        <f>A547*$B$50*(VLOOKUP(E$22,'Aging Factor'!$A$145:$G$242,5,1)*(G$22/L$22/12500)*('Degradation Model'!$B$26/F$22))</f>
        <v>8.0198698496705649</v>
      </c>
      <c r="D547" s="13">
        <f>D546+(C541*100/I546)</f>
        <v>9.2349023086189739</v>
      </c>
      <c r="E547" s="13">
        <f>((VLOOKUP(E$22,'Aging Factor'!$A$145:$H$242,8,1)-1)*F547*J$22/7)</f>
        <v>0</v>
      </c>
      <c r="F547" s="13">
        <f t="shared" si="185"/>
        <v>23.165994206931018</v>
      </c>
      <c r="G547" s="13">
        <f t="shared" si="186"/>
        <v>23.165994206931018</v>
      </c>
      <c r="H547" s="13">
        <f t="shared" si="192"/>
        <v>2.2187583369005424</v>
      </c>
      <c r="I547" s="13">
        <f t="shared" si="187"/>
        <v>76.834005793068982</v>
      </c>
      <c r="J547" s="14">
        <f t="shared" si="188"/>
        <v>215.90355627852384</v>
      </c>
      <c r="K547" s="15">
        <f t="shared" si="189"/>
        <v>63.435905138761584</v>
      </c>
      <c r="L547" s="14">
        <f t="shared" si="190"/>
        <v>178.25489343992004</v>
      </c>
    </row>
    <row r="548" spans="1:12">
      <c r="A548" s="28">
        <f t="shared" si="191"/>
        <v>8</v>
      </c>
      <c r="B548" s="13">
        <f>(VLOOKUP(E$22,'Aging Factor'!$A$145:$G$242,5,1)*(SQRT(A548+K$22-L$22)*Calibration!$B$49)-((0.32989795*(A548+K$22-L$22)-1.302)))</f>
        <v>14.625129372930573</v>
      </c>
      <c r="C548" s="13">
        <f>A548*$B$50*(VLOOKUP(E$22,'Aging Factor'!$A$145:$G$242,5,1)*(G$22/L$22/12500)*('Degradation Model'!$B$26/F$22))</f>
        <v>9.1655655424806461</v>
      </c>
      <c r="D548" s="13">
        <f>D547+(C541*100/I547)</f>
        <v>10.726033326694086</v>
      </c>
      <c r="E548" s="13">
        <f>((VLOOKUP(E$22,'Aging Factor'!$A$145:$H$242,8,1)-1)*F548*J$22/7)</f>
        <v>0</v>
      </c>
      <c r="F548" s="13">
        <f t="shared" si="185"/>
        <v>25.351162699624659</v>
      </c>
      <c r="G548" s="13">
        <f t="shared" si="186"/>
        <v>25.351162699624659</v>
      </c>
      <c r="H548" s="13">
        <f t="shared" si="192"/>
        <v>2.1851684926936414</v>
      </c>
      <c r="I548" s="13">
        <f t="shared" si="187"/>
        <v>74.648837300375334</v>
      </c>
      <c r="J548" s="14">
        <f t="shared" si="188"/>
        <v>209.76323281405467</v>
      </c>
      <c r="K548" s="15">
        <f t="shared" si="189"/>
        <v>61.631780262231594</v>
      </c>
      <c r="L548" s="14">
        <f t="shared" si="190"/>
        <v>173.18530253687078</v>
      </c>
    </row>
    <row r="549" spans="1:12">
      <c r="A549" s="28">
        <f t="shared" si="191"/>
        <v>9</v>
      </c>
      <c r="B549" s="13">
        <f>(VLOOKUP(E$22,'Aging Factor'!$A$145:$G$242,5,1)*(SQRT(A549+K$22-L$22)*Calibration!$B$49)-((0.32989795*(A549+K$22-L$22)-1.302)))</f>
        <v>15.257407064180695</v>
      </c>
      <c r="C549" s="13">
        <f>A549*$B$50*(VLOOKUP(E$22,'Aging Factor'!$A$145:$G$242,5,1)*(G$22/L$22/12500)*('Degradation Model'!$B$26/F$22))</f>
        <v>10.311261235290727</v>
      </c>
      <c r="D549" s="13">
        <f>D548+(C541*100/I548)</f>
        <v>12.260813685294956</v>
      </c>
      <c r="E549" s="13">
        <f>((VLOOKUP(E$22,'Aging Factor'!$A$145:$H$242,8,1)-1)*F549*J$22/7)</f>
        <v>0</v>
      </c>
      <c r="F549" s="13">
        <f t="shared" si="185"/>
        <v>27.518220749475653</v>
      </c>
      <c r="G549" s="13">
        <f t="shared" si="186"/>
        <v>27.518220749475653</v>
      </c>
      <c r="H549" s="13">
        <f t="shared" si="192"/>
        <v>2.1670580498509935</v>
      </c>
      <c r="I549" s="13">
        <f t="shared" si="187"/>
        <v>72.48177925052434</v>
      </c>
      <c r="J549" s="14">
        <f t="shared" si="188"/>
        <v>203.67379969397336</v>
      </c>
      <c r="K549" s="15">
        <f t="shared" si="189"/>
        <v>59.842607779792331</v>
      </c>
      <c r="L549" s="14">
        <f t="shared" si="190"/>
        <v>168.15772786121647</v>
      </c>
    </row>
    <row r="550" spans="1:12">
      <c r="A550" s="32">
        <f t="shared" si="191"/>
        <v>10</v>
      </c>
      <c r="B550" s="13">
        <f>(VLOOKUP(E$22,'Aging Factor'!$A$145:$G$242,5,1)*(SQRT(A550+K$22-L$22)*Calibration!$B$49)-((0.32989795*(A550+K$22-L$22)-1.302)))</f>
        <v>15.837911774690818</v>
      </c>
      <c r="C550" s="13">
        <f>A550*$B$50*(VLOOKUP(E$22,'Aging Factor'!$A$145:$G$242,5,1)*(G$22/L$22/12500)*('Degradation Model'!$B$26/F$22))</f>
        <v>11.456956928100809</v>
      </c>
      <c r="D550" s="13">
        <f>D549+(C541*100/I549)</f>
        <v>13.841480860765531</v>
      </c>
      <c r="E550" s="13">
        <f>((VLOOKUP(E$22,'Aging Factor'!$A$145:$H$242,8,1)-1)*F550*J$22/7)</f>
        <v>0</v>
      </c>
      <c r="F550" s="13">
        <f t="shared" si="185"/>
        <v>29.679392635456349</v>
      </c>
      <c r="G550" s="13">
        <f t="shared" si="186"/>
        <v>29.679392635456349</v>
      </c>
      <c r="H550" s="13">
        <f t="shared" si="192"/>
        <v>2.1611718859806963</v>
      </c>
      <c r="I550" s="13">
        <f t="shared" si="187"/>
        <v>70.320607364543648</v>
      </c>
      <c r="J550" s="33">
        <f t="shared" si="188"/>
        <v>197.60090669436767</v>
      </c>
      <c r="K550" s="15">
        <f t="shared" si="189"/>
        <v>58.058295048306505</v>
      </c>
      <c r="L550" s="14">
        <f t="shared" si="190"/>
        <v>163.14380908574128</v>
      </c>
    </row>
    <row r="551" spans="1:12">
      <c r="A551" s="28">
        <f t="shared" si="191"/>
        <v>11</v>
      </c>
      <c r="B551" s="13">
        <f>(VLOOKUP(E$22,'Aging Factor'!$A$145:$G$242,5,1)*(SQRT(A551+K$22-L$22)*Calibration!$B$49)-((0.32989795*(A551+K$22-L$22)-1.302)))</f>
        <v>16.374197843970148</v>
      </c>
      <c r="C551" s="13">
        <f>A551*$B$50*(VLOOKUP(E$22,'Aging Factor'!$A$145:$G$242,5,1)*(G$22/L$22/12500)*('Degradation Model'!$B$26/F$22))</f>
        <v>12.602652620910888</v>
      </c>
      <c r="D551" s="13">
        <f>D550+(C541*100/I550)</f>
        <v>15.470726875195934</v>
      </c>
      <c r="E551" s="13">
        <f>((VLOOKUP(E$22,'Aging Factor'!$A$145:$H$242,8,1)-1)*F551*J$22/7)</f>
        <v>0</v>
      </c>
      <c r="F551" s="13">
        <f t="shared" si="185"/>
        <v>31.84492471916608</v>
      </c>
      <c r="G551" s="13">
        <f t="shared" si="186"/>
        <v>31.84492471916608</v>
      </c>
      <c r="H551" s="13">
        <f t="shared" si="192"/>
        <v>2.1655320837097314</v>
      </c>
      <c r="I551" s="13">
        <f t="shared" si="187"/>
        <v>68.155075280833927</v>
      </c>
      <c r="J551" s="14">
        <f t="shared" si="188"/>
        <v>191.51576153914334</v>
      </c>
      <c r="K551" s="15">
        <f t="shared" si="189"/>
        <v>56.270382438268584</v>
      </c>
      <c r="L551" s="14">
        <f t="shared" si="190"/>
        <v>158.11977465153473</v>
      </c>
    </row>
    <row r="552" spans="1:12">
      <c r="A552" s="28">
        <f t="shared" si="191"/>
        <v>12</v>
      </c>
      <c r="B552" s="13">
        <f>(VLOOKUP(E$22,'Aging Factor'!$A$145:$G$242,5,1)*(SQRT(A552+K$22-L$22)*Calibration!$B$49)-((0.32989795*(A552+K$22-L$22)-1.302)))</f>
        <v>16.872143708867164</v>
      </c>
      <c r="C552" s="13">
        <f>A552*$B$50*(VLOOKUP(E$22,'Aging Factor'!$A$145:$G$242,5,1)*(G$22/L$22/12500)*('Degradation Model'!$B$26/F$22))</f>
        <v>13.748348313720969</v>
      </c>
      <c r="D552" s="13">
        <f>D551+(C541*100/I551)</f>
        <v>17.151739900402386</v>
      </c>
      <c r="E552" s="13">
        <f>((VLOOKUP(E$22,'Aging Factor'!$A$145:$H$242,8,1)-1)*F552*J$22/7)</f>
        <v>0</v>
      </c>
      <c r="F552" s="13">
        <f t="shared" si="185"/>
        <v>34.023883609269546</v>
      </c>
      <c r="G552" s="13">
        <f t="shared" si="186"/>
        <v>34.023883609269546</v>
      </c>
      <c r="H552" s="13">
        <f t="shared" si="192"/>
        <v>2.1789588901034662</v>
      </c>
      <c r="I552" s="13">
        <f t="shared" si="187"/>
        <v>65.976116390730454</v>
      </c>
      <c r="J552" s="14">
        <f t="shared" si="188"/>
        <v>185.39288705795258</v>
      </c>
      <c r="K552" s="15">
        <f t="shared" si="189"/>
        <v>54.471384351065723</v>
      </c>
      <c r="L552" s="14">
        <f t="shared" si="190"/>
        <v>153.06459002649467</v>
      </c>
    </row>
    <row r="553" spans="1:12">
      <c r="A553" s="28">
        <f t="shared" si="191"/>
        <v>13</v>
      </c>
      <c r="B553" s="13">
        <f>(VLOOKUP(E$22,'Aging Factor'!$A$145:$G$242,5,1)*(SQRT(A553+K$22-L$22)*Calibration!$B$49)-((0.32989795*(A553+K$22-L$22)-1.302)))</f>
        <v>17.336430384202057</v>
      </c>
      <c r="C553" s="13">
        <f>A553*$B$50*(VLOOKUP(E$22,'Aging Factor'!$A$145:$G$242,5,1)*(G$22/L$22/12500)*('Degradation Model'!$B$26/F$22))</f>
        <v>14.89404400653105</v>
      </c>
      <c r="D553" s="13">
        <f>D552+(C541*100/I552)</f>
        <v>18.888270868707529</v>
      </c>
      <c r="E553" s="13">
        <f>((VLOOKUP(E$22,'Aging Factor'!$A$145:$H$242,8,1)-1)*F553*J$22/7)</f>
        <v>0</v>
      </c>
      <c r="F553" s="13">
        <f t="shared" si="185"/>
        <v>36.224701252909583</v>
      </c>
      <c r="G553" s="13">
        <f t="shared" si="186"/>
        <v>36.224701252909583</v>
      </c>
      <c r="H553" s="13">
        <f t="shared" si="192"/>
        <v>2.2008176436400362</v>
      </c>
      <c r="I553" s="13">
        <f t="shared" si="187"/>
        <v>63.775298747090417</v>
      </c>
      <c r="J553" s="14">
        <f t="shared" si="188"/>
        <v>179.20858947932408</v>
      </c>
      <c r="K553" s="15">
        <f t="shared" si="189"/>
        <v>52.654339179092446</v>
      </c>
      <c r="L553" s="14">
        <f t="shared" si="190"/>
        <v>147.95869309324976</v>
      </c>
    </row>
    <row r="554" spans="1:12">
      <c r="A554" s="28">
        <f t="shared" si="191"/>
        <v>14</v>
      </c>
      <c r="B554" s="13">
        <f>(VLOOKUP(E$22,'Aging Factor'!$A$145:$G$242,5,1)*(SQRT(A554+K$22-L$22)*Calibration!$B$49)-((0.32989795*(A554+K$22-L$22)-1.302)))</f>
        <v>17.770857435403133</v>
      </c>
      <c r="C554" s="13">
        <f>A554*$B$50*(VLOOKUP(E$22,'Aging Factor'!$A$145:$G$242,5,1)*(G$22/L$22/12500)*('Degradation Model'!$B$26/F$22))</f>
        <v>16.03973969934113</v>
      </c>
      <c r="D554" s="13">
        <f>D553+(C541*100/I553)</f>
        <v>20.68472767144787</v>
      </c>
      <c r="E554" s="13">
        <f>((VLOOKUP(E$22,'Aging Factor'!$A$145:$H$242,8,1)-1)*F554*J$22/7)</f>
        <v>0</v>
      </c>
      <c r="F554" s="13">
        <f t="shared" si="185"/>
        <v>38.455585106851004</v>
      </c>
      <c r="G554" s="13">
        <f t="shared" si="186"/>
        <v>38.455585106851004</v>
      </c>
      <c r="H554" s="13">
        <f t="shared" si="192"/>
        <v>2.2308838539414211</v>
      </c>
      <c r="I554" s="13">
        <f t="shared" si="187"/>
        <v>61.544414893148996</v>
      </c>
      <c r="J554" s="14">
        <f t="shared" si="188"/>
        <v>172.93980584974867</v>
      </c>
      <c r="K554" s="15">
        <f t="shared" si="189"/>
        <v>50.812470659112343</v>
      </c>
      <c r="L554" s="14">
        <f t="shared" si="190"/>
        <v>142.78304255210568</v>
      </c>
    </row>
    <row r="555" spans="1:12">
      <c r="A555" s="28">
        <f t="shared" si="191"/>
        <v>15</v>
      </c>
      <c r="B555" s="13">
        <f>(VLOOKUP(E$22,'Aging Factor'!$A$145:$G$242,5,1)*(SQRT(A555+K$22-L$22)*Calibration!$B$49)-((0.32989795*(A555+K$22-L$22)-1.302)))</f>
        <v>18.178559205545479</v>
      </c>
      <c r="C555" s="13">
        <f>A555*$B$50*(VLOOKUP(E$22,'Aging Factor'!$A$145:$G$242,5,1)*(G$22/L$22/12500)*('Degradation Model'!$B$26/F$22))</f>
        <v>17.185435392151213</v>
      </c>
      <c r="D555" s="13">
        <f>D554+(C541*100/I554)</f>
        <v>22.546303079710654</v>
      </c>
      <c r="E555" s="13">
        <f>((VLOOKUP(E$22,'Aging Factor'!$A$145:$H$242,8,1)-1)*F555*J$22/7)</f>
        <v>0</v>
      </c>
      <c r="F555" s="13">
        <f t="shared" si="185"/>
        <v>40.724862285256137</v>
      </c>
      <c r="G555" s="13">
        <f t="shared" si="186"/>
        <v>40.724862285256137</v>
      </c>
      <c r="H555" s="13">
        <f t="shared" si="192"/>
        <v>2.2692771784051331</v>
      </c>
      <c r="I555" s="13">
        <f t="shared" si="187"/>
        <v>59.275137714743863</v>
      </c>
      <c r="J555" s="14">
        <f t="shared" si="188"/>
        <v>166.56313697843026</v>
      </c>
      <c r="K555" s="15">
        <f t="shared" si="189"/>
        <v>48.938903736016279</v>
      </c>
      <c r="L555" s="14">
        <f t="shared" si="190"/>
        <v>137.51831949820576</v>
      </c>
    </row>
    <row r="558" spans="1:12">
      <c r="A558" s="7" t="s">
        <v>109</v>
      </c>
    </row>
    <row r="560" spans="1:12">
      <c r="A560" s="29"/>
      <c r="B560" s="29" t="s">
        <v>54</v>
      </c>
      <c r="C560" s="29" t="s">
        <v>54</v>
      </c>
      <c r="D560" s="29" t="s">
        <v>2</v>
      </c>
      <c r="E560" s="29" t="s">
        <v>3</v>
      </c>
      <c r="F560" s="29" t="s">
        <v>4</v>
      </c>
      <c r="G560" s="29" t="s">
        <v>54</v>
      </c>
      <c r="H560" s="29" t="s">
        <v>55</v>
      </c>
      <c r="I560" s="29" t="s">
        <v>6</v>
      </c>
      <c r="J560" s="29" t="s">
        <v>7</v>
      </c>
      <c r="K560" s="29" t="s">
        <v>8</v>
      </c>
      <c r="L560" s="29" t="s">
        <v>8</v>
      </c>
    </row>
    <row r="561" spans="1:12">
      <c r="A561" s="29" t="s">
        <v>56</v>
      </c>
      <c r="B561" s="29" t="s">
        <v>9</v>
      </c>
      <c r="C561" s="29" t="s">
        <v>10</v>
      </c>
      <c r="D561" s="29" t="s">
        <v>10</v>
      </c>
      <c r="E561" s="29" t="s">
        <v>11</v>
      </c>
      <c r="F561" s="29" t="s">
        <v>10</v>
      </c>
      <c r="G561" s="29" t="s">
        <v>12</v>
      </c>
      <c r="H561" s="29" t="s">
        <v>57</v>
      </c>
      <c r="I561" s="29" t="s">
        <v>52</v>
      </c>
      <c r="J561" s="29" t="s">
        <v>14</v>
      </c>
      <c r="K561" s="29" t="s">
        <v>15</v>
      </c>
      <c r="L561" s="29" t="s">
        <v>14</v>
      </c>
    </row>
    <row r="562" spans="1:12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</row>
    <row r="563" spans="1:12">
      <c r="A563" s="32">
        <v>1</v>
      </c>
      <c r="B563" s="13">
        <f>(VLOOKUP(E$23,'Aging Factor'!$A$145:$G$242,5,1)*(SQRT(A563+K$23-L$23)*Calibration!$B$49)-((0.32989795*(A563+K$23-L$23)-1.302)))</f>
        <v>6.2845784437026317</v>
      </c>
      <c r="C563" s="13">
        <f>A563*$B$50*(VLOOKUP(E$23,'Aging Factor'!$A$145:$G$242,5,1)*(G$23/L$23/12500)*('Degradation Model'!$B$26/F$23))</f>
        <v>2.3633963586233033</v>
      </c>
      <c r="D563" s="13">
        <f>C563</f>
        <v>2.3633963586233033</v>
      </c>
      <c r="E563" s="13">
        <f>((VLOOKUP(E$23,'Aging Factor'!$A$145:$H$242,8,1)-1)*F563*J$23/7)</f>
        <v>0.13275441313734951</v>
      </c>
      <c r="F563" s="13">
        <f t="shared" ref="F563:F577" si="193">B563+D563</f>
        <v>8.6479748023259351</v>
      </c>
      <c r="G563" s="13">
        <f t="shared" ref="G563:G577" si="194">F563+E563</f>
        <v>8.7807292154632854</v>
      </c>
      <c r="H563" s="13">
        <f>G563</f>
        <v>8.7807292154632854</v>
      </c>
      <c r="I563" s="13">
        <f t="shared" ref="I563:I577" si="195">IF(100-G563&lt;=5,5,100-G563)</f>
        <v>91.219270784536718</v>
      </c>
      <c r="J563" s="33">
        <f t="shared" ref="J563:J577" si="196">IF(281*I563/100&gt;0,281*I563/100,0)</f>
        <v>256.32615090454817</v>
      </c>
      <c r="K563" s="15">
        <f t="shared" ref="K563:K577" si="197">IF(L563/281*100&gt;0,L563/281*100,0)</f>
        <v>75.312707551645971</v>
      </c>
      <c r="L563" s="14">
        <f t="shared" ref="L563:L577" si="198">IF(I563*232/100&gt;0,I563*232/100,0)</f>
        <v>211.62870822012519</v>
      </c>
    </row>
    <row r="564" spans="1:12">
      <c r="A564" s="28">
        <f t="shared" ref="A564:A577" si="199">A563+1</f>
        <v>2</v>
      </c>
      <c r="B564" s="13">
        <f>(VLOOKUP(E$23,'Aging Factor'!$A$145:$G$242,5,1)*(SQRT(A564+K$23-L$23)*Calibration!$B$49)-((0.32989795*(A564+K$23-L$23)-1.302)))</f>
        <v>7.8903963993299548</v>
      </c>
      <c r="C564" s="13">
        <f>A564*$B$50*(VLOOKUP(E$23,'Aging Factor'!$A$145:$G$242,5,1)*(G$23/L$23/12500)*('Degradation Model'!$B$26/F$23))</f>
        <v>4.7267927172466067</v>
      </c>
      <c r="D564" s="13">
        <f>D563+(C563*100/I563)</f>
        <v>4.9542922716214814</v>
      </c>
      <c r="E564" s="13">
        <f>((VLOOKUP(E$23,'Aging Factor'!$A$145:$H$242,8,1)-1)*F564*J$23/7)</f>
        <v>0.19717785324553636</v>
      </c>
      <c r="F564" s="13">
        <f t="shared" si="193"/>
        <v>12.844688670951436</v>
      </c>
      <c r="G564" s="13">
        <f t="shared" si="194"/>
        <v>13.041866524196973</v>
      </c>
      <c r="H564" s="13">
        <f t="shared" ref="H564:H577" si="200">G564-G563</f>
        <v>4.2611373087336872</v>
      </c>
      <c r="I564" s="13">
        <f t="shared" si="195"/>
        <v>86.958133475803024</v>
      </c>
      <c r="J564" s="14">
        <f t="shared" si="196"/>
        <v>244.3523550670065</v>
      </c>
      <c r="K564" s="15">
        <f t="shared" si="197"/>
        <v>71.794615538741297</v>
      </c>
      <c r="L564" s="14">
        <f t="shared" si="198"/>
        <v>201.74286966386302</v>
      </c>
    </row>
    <row r="565" spans="1:12">
      <c r="A565" s="28">
        <f t="shared" si="199"/>
        <v>3</v>
      </c>
      <c r="B565" s="13">
        <f>(VLOOKUP(E$23,'Aging Factor'!$A$145:$G$242,5,1)*(SQRT(A565+K$23-L$23)*Calibration!$B$49)-((0.32989795*(A565+K$23-L$23)-1.302)))</f>
        <v>9.0814657532774081</v>
      </c>
      <c r="C565" s="13">
        <f>A565*$B$50*(VLOOKUP(E$23,'Aging Factor'!$A$145:$G$242,5,1)*(G$23/L$23/12500)*('Degradation Model'!$B$26/F$23))</f>
        <v>7.09018907586991</v>
      </c>
      <c r="D565" s="13">
        <f>D564+(C563*100/I564)</f>
        <v>7.6721477086645757</v>
      </c>
      <c r="E565" s="13">
        <f>((VLOOKUP(E$23,'Aging Factor'!$A$145:$H$242,8,1)-1)*F565*J$23/7)</f>
        <v>0.25718346478899479</v>
      </c>
      <c r="F565" s="13">
        <f t="shared" si="193"/>
        <v>16.753613461941985</v>
      </c>
      <c r="G565" s="13">
        <f t="shared" si="194"/>
        <v>17.010796926730979</v>
      </c>
      <c r="H565" s="13">
        <f t="shared" si="200"/>
        <v>3.9689304025340064</v>
      </c>
      <c r="I565" s="13">
        <f t="shared" si="195"/>
        <v>82.989203073269024</v>
      </c>
      <c r="J565" s="14">
        <f t="shared" si="196"/>
        <v>233.19966063588595</v>
      </c>
      <c r="K565" s="15">
        <f t="shared" si="197"/>
        <v>68.517776202841333</v>
      </c>
      <c r="L565" s="14">
        <f t="shared" si="198"/>
        <v>192.53495112998414</v>
      </c>
    </row>
    <row r="566" spans="1:12">
      <c r="A566" s="28">
        <f t="shared" si="199"/>
        <v>4</v>
      </c>
      <c r="B566" s="13">
        <f>(VLOOKUP(E$23,'Aging Factor'!$A$145:$G$242,5,1)*(SQRT(A566+K$23-L$23)*Calibration!$B$49)-((0.32989795*(A566+K$23-L$23)-1.302)))</f>
        <v>10.046511607673605</v>
      </c>
      <c r="C566" s="13">
        <f>A566*$B$50*(VLOOKUP(E$23,'Aging Factor'!$A$145:$G$242,5,1)*(G$23/L$23/12500)*('Degradation Model'!$B$26/F$23))</f>
        <v>9.4535854344932133</v>
      </c>
      <c r="D566" s="13">
        <f>D565+(C563*100/I565)</f>
        <v>10.519983657320115</v>
      </c>
      <c r="E566" s="13">
        <f>((VLOOKUP(E$23,'Aging Factor'!$A$145:$H$242,8,1)-1)*F566*J$23/7)</f>
        <v>0.31571472762177644</v>
      </c>
      <c r="F566" s="13">
        <f t="shared" si="193"/>
        <v>20.566495264993719</v>
      </c>
      <c r="G566" s="13">
        <f t="shared" si="194"/>
        <v>20.882209992615497</v>
      </c>
      <c r="H566" s="13">
        <f t="shared" si="200"/>
        <v>3.8714130658845178</v>
      </c>
      <c r="I566" s="13">
        <f t="shared" si="195"/>
        <v>79.1177900073845</v>
      </c>
      <c r="J566" s="14">
        <f t="shared" si="196"/>
        <v>222.32098992075043</v>
      </c>
      <c r="K566" s="15">
        <f t="shared" si="197"/>
        <v>65.32144940111462</v>
      </c>
      <c r="L566" s="14">
        <f t="shared" si="198"/>
        <v>183.55327281713207</v>
      </c>
    </row>
    <row r="567" spans="1:12">
      <c r="A567" s="32">
        <f t="shared" si="199"/>
        <v>5</v>
      </c>
      <c r="B567" s="13">
        <f>(VLOOKUP(E$23,'Aging Factor'!$A$145:$G$242,5,1)*(SQRT(A567+K$23-L$23)*Calibration!$B$49)-((0.32989795*(A567+K$23-L$23)-1.302)))</f>
        <v>10.863723280927523</v>
      </c>
      <c r="C567" s="13">
        <f>A567*$B$50*(VLOOKUP(E$23,'Aging Factor'!$A$145:$G$242,5,1)*(G$23/L$23/12500)*('Degradation Model'!$B$26/F$23))</f>
        <v>11.816981793116517</v>
      </c>
      <c r="D567" s="13">
        <f>D566+(C563*100/I566)</f>
        <v>13.507170683654792</v>
      </c>
      <c r="E567" s="13">
        <f>((VLOOKUP(E$23,'Aging Factor'!$A$145:$H$242,8,1)-1)*F567*J$23/7)</f>
        <v>0.37411576696899357</v>
      </c>
      <c r="F567" s="13">
        <f t="shared" si="193"/>
        <v>24.370893964582315</v>
      </c>
      <c r="G567" s="13">
        <f t="shared" si="194"/>
        <v>24.74500973155131</v>
      </c>
      <c r="H567" s="13">
        <f t="shared" si="200"/>
        <v>3.8627997389358129</v>
      </c>
      <c r="I567" s="13">
        <f t="shared" si="195"/>
        <v>75.254990268448694</v>
      </c>
      <c r="J567" s="33">
        <f t="shared" si="196"/>
        <v>211.46652265434085</v>
      </c>
      <c r="K567" s="15">
        <f t="shared" si="197"/>
        <v>62.132233958292161</v>
      </c>
      <c r="L567" s="14">
        <f t="shared" si="198"/>
        <v>174.59157742280098</v>
      </c>
    </row>
    <row r="568" spans="1:12">
      <c r="A568" s="28">
        <f t="shared" si="199"/>
        <v>6</v>
      </c>
      <c r="B568" s="13">
        <f>(VLOOKUP(E$23,'Aging Factor'!$A$145:$G$242,5,1)*(SQRT(A568+K$23-L$23)*Calibration!$B$49)-((0.32989795*(A568+K$23-L$23)-1.302)))</f>
        <v>11.574499151943915</v>
      </c>
      <c r="C568" s="13">
        <f>A568*$B$50*(VLOOKUP(E$23,'Aging Factor'!$A$145:$G$242,5,1)*(G$23/L$23/12500)*('Degradation Model'!$B$26/F$23))</f>
        <v>14.18037815173982</v>
      </c>
      <c r="D568" s="13">
        <f>D567+(C563*100/I567)</f>
        <v>16.64768847548843</v>
      </c>
      <c r="E568" s="13">
        <f>((VLOOKUP(E$23,'Aging Factor'!$A$145:$H$242,8,1)-1)*F568*J$23/7)</f>
        <v>0.43323668738306986</v>
      </c>
      <c r="F568" s="13">
        <f t="shared" si="193"/>
        <v>28.222187627432344</v>
      </c>
      <c r="G568" s="13">
        <f t="shared" si="194"/>
        <v>28.655424314815413</v>
      </c>
      <c r="H568" s="13">
        <f t="shared" si="200"/>
        <v>3.9104145832641031</v>
      </c>
      <c r="I568" s="13">
        <f t="shared" si="195"/>
        <v>71.344575685184594</v>
      </c>
      <c r="J568" s="14">
        <f t="shared" si="196"/>
        <v>200.4782576753687</v>
      </c>
      <c r="K568" s="15">
        <f t="shared" si="197"/>
        <v>58.903706615526076</v>
      </c>
      <c r="L568" s="14">
        <f t="shared" si="198"/>
        <v>165.51941558962827</v>
      </c>
    </row>
    <row r="569" spans="1:12">
      <c r="A569" s="28">
        <f t="shared" si="199"/>
        <v>7</v>
      </c>
      <c r="B569" s="13">
        <f>(VLOOKUP(E$23,'Aging Factor'!$A$145:$G$242,5,1)*(SQRT(A569+K$23-L$23)*Calibration!$B$49)-((0.32989795*(A569+K$23-L$23)-1.302)))</f>
        <v>12.203905775025053</v>
      </c>
      <c r="C569" s="13">
        <f>A569*$B$50*(VLOOKUP(E$23,'Aging Factor'!$A$145:$G$242,5,1)*(G$23/L$23/12500)*('Degradation Model'!$B$26/F$23))</f>
        <v>16.543774510363122</v>
      </c>
      <c r="D569" s="13">
        <f>D568+(C563*100/I568)</f>
        <v>19.960338857000316</v>
      </c>
      <c r="E569" s="13">
        <f>((VLOOKUP(E$23,'Aging Factor'!$A$145:$H$242,8,1)-1)*F569*J$23/7)</f>
        <v>0.49375090905471181</v>
      </c>
      <c r="F569" s="13">
        <f t="shared" si="193"/>
        <v>32.164244632025373</v>
      </c>
      <c r="G569" s="13">
        <f t="shared" si="194"/>
        <v>32.657995541080084</v>
      </c>
      <c r="H569" s="13">
        <f t="shared" si="200"/>
        <v>4.0025712262646707</v>
      </c>
      <c r="I569" s="13">
        <f t="shared" si="195"/>
        <v>67.342004458919916</v>
      </c>
      <c r="J569" s="14">
        <f t="shared" si="196"/>
        <v>189.23103252956497</v>
      </c>
      <c r="K569" s="15">
        <f t="shared" si="197"/>
        <v>55.599092649357374</v>
      </c>
      <c r="L569" s="14">
        <f t="shared" si="198"/>
        <v>156.23345034469421</v>
      </c>
    </row>
    <row r="570" spans="1:12">
      <c r="A570" s="28">
        <f t="shared" si="199"/>
        <v>8</v>
      </c>
      <c r="B570" s="13">
        <f>(VLOOKUP(E$23,'Aging Factor'!$A$145:$G$242,5,1)*(SQRT(A570+K$23-L$23)*Calibration!$B$49)-((0.32989795*(A570+K$23-L$23)-1.302)))</f>
        <v>12.768486396146931</v>
      </c>
      <c r="C570" s="13">
        <f>A570*$B$50*(VLOOKUP(E$23,'Aging Factor'!$A$145:$G$242,5,1)*(G$23/L$23/12500)*('Degradation Model'!$B$26/F$23))</f>
        <v>18.907170868986427</v>
      </c>
      <c r="D570" s="13">
        <f>D569+(C563*100/I569)</f>
        <v>23.469881493298033</v>
      </c>
      <c r="E570" s="13">
        <f>((VLOOKUP(E$23,'Aging Factor'!$A$145:$H$242,8,1)-1)*F570*J$23/7)</f>
        <v>0.55629246987684755</v>
      </c>
      <c r="F570" s="13">
        <f t="shared" si="193"/>
        <v>36.238367889444966</v>
      </c>
      <c r="G570" s="13">
        <f t="shared" si="194"/>
        <v>36.79466035932181</v>
      </c>
      <c r="H570" s="13">
        <f t="shared" si="200"/>
        <v>4.1366648182417265</v>
      </c>
      <c r="I570" s="13">
        <f t="shared" si="195"/>
        <v>63.20533964067819</v>
      </c>
      <c r="J570" s="14">
        <f t="shared" si="196"/>
        <v>177.60700439030569</v>
      </c>
      <c r="K570" s="15">
        <f t="shared" si="197"/>
        <v>52.18376795956349</v>
      </c>
      <c r="L570" s="14">
        <f t="shared" si="198"/>
        <v>146.63638796637341</v>
      </c>
    </row>
    <row r="571" spans="1:12">
      <c r="A571" s="28">
        <f t="shared" si="199"/>
        <v>9</v>
      </c>
      <c r="B571" s="13">
        <f>(VLOOKUP(E$23,'Aging Factor'!$A$145:$G$242,5,1)*(SQRT(A571+K$23-L$23)*Calibration!$B$49)-((0.32989795*(A571+K$23-L$23)-1.302)))</f>
        <v>13.279838908223299</v>
      </c>
      <c r="C571" s="13">
        <f>A571*$B$50*(VLOOKUP(E$23,'Aging Factor'!$A$145:$G$242,5,1)*(G$23/L$23/12500)*('Degradation Model'!$B$26/F$23))</f>
        <v>21.270567227609732</v>
      </c>
      <c r="D571" s="13">
        <f>D570+(C563*100/I570)</f>
        <v>27.209116773195571</v>
      </c>
      <c r="E571" s="13">
        <f>((VLOOKUP(E$23,'Aging Factor'!$A$145:$H$242,8,1)-1)*F571*J$23/7)</f>
        <v>0.62154292454520643</v>
      </c>
      <c r="F571" s="13">
        <f t="shared" si="193"/>
        <v>40.488955681418872</v>
      </c>
      <c r="G571" s="13">
        <f t="shared" si="194"/>
        <v>41.110498605964082</v>
      </c>
      <c r="H571" s="13">
        <f t="shared" si="200"/>
        <v>4.3158382466422722</v>
      </c>
      <c r="I571" s="13">
        <f t="shared" si="195"/>
        <v>58.889501394035918</v>
      </c>
      <c r="J571" s="14">
        <f t="shared" si="196"/>
        <v>165.47949891724093</v>
      </c>
      <c r="K571" s="15">
        <f t="shared" si="197"/>
        <v>48.620513606463817</v>
      </c>
      <c r="L571" s="14">
        <f t="shared" si="198"/>
        <v>136.62364323416332</v>
      </c>
    </row>
    <row r="572" spans="1:12">
      <c r="A572" s="32">
        <f t="shared" si="199"/>
        <v>10</v>
      </c>
      <c r="B572" s="13">
        <f>(VLOOKUP(E$23,'Aging Factor'!$A$145:$G$242,5,1)*(SQRT(A572+K$23-L$23)*Calibration!$B$49)-((0.32989795*(A572+K$23-L$23)-1.302)))</f>
        <v>13.746467088893514</v>
      </c>
      <c r="C572" s="13">
        <f>A572*$B$50*(VLOOKUP(E$23,'Aging Factor'!$A$145:$G$242,5,1)*(G$23/L$23/12500)*('Degradation Model'!$B$26/F$23))</f>
        <v>23.633963586233033</v>
      </c>
      <c r="D572" s="13">
        <f>D571+(C563*100/I571)</f>
        <v>31.222389602268393</v>
      </c>
      <c r="E572" s="13">
        <f>((VLOOKUP(E$23,'Aging Factor'!$A$145:$H$242,8,1)-1)*F572*J$23/7)</f>
        <v>0.69031354923549793</v>
      </c>
      <c r="F572" s="13">
        <f t="shared" si="193"/>
        <v>44.968856691161903</v>
      </c>
      <c r="G572" s="13">
        <f t="shared" si="194"/>
        <v>45.659170240397401</v>
      </c>
      <c r="H572" s="13">
        <f t="shared" si="200"/>
        <v>4.5486716344333189</v>
      </c>
      <c r="I572" s="13">
        <f t="shared" si="195"/>
        <v>54.340829759602599</v>
      </c>
      <c r="J572" s="33">
        <f t="shared" si="196"/>
        <v>152.69773162448328</v>
      </c>
      <c r="K572" s="15">
        <f t="shared" si="197"/>
        <v>44.865026705437025</v>
      </c>
      <c r="L572" s="14">
        <f t="shared" si="198"/>
        <v>126.07072504227803</v>
      </c>
    </row>
    <row r="573" spans="1:12">
      <c r="A573" s="28">
        <f t="shared" si="199"/>
        <v>11</v>
      </c>
      <c r="B573" s="13">
        <f>(VLOOKUP(E$23,'Aging Factor'!$A$145:$G$242,5,1)*(SQRT(A573+K$23-L$23)*Calibration!$B$49)-((0.32989795*(A573+K$23-L$23)-1.302)))</f>
        <v>14.174826013269387</v>
      </c>
      <c r="C573" s="13">
        <f>A573*$B$50*(VLOOKUP(E$23,'Aging Factor'!$A$145:$G$242,5,1)*(G$23/L$23/12500)*('Degradation Model'!$B$26/F$23))</f>
        <v>25.997359944856335</v>
      </c>
      <c r="D573" s="13">
        <f>D572+(C563*100/I572)</f>
        <v>35.571598786373031</v>
      </c>
      <c r="E573" s="13">
        <f>((VLOOKUP(E$23,'Aging Factor'!$A$145:$H$242,8,1)-1)*F573*J$23/7)</f>
        <v>0.76365363925223384</v>
      </c>
      <c r="F573" s="13">
        <f t="shared" si="193"/>
        <v>49.746424799642419</v>
      </c>
      <c r="G573" s="13">
        <f t="shared" si="194"/>
        <v>50.510078438894652</v>
      </c>
      <c r="H573" s="13">
        <f t="shared" si="200"/>
        <v>4.8509081984972511</v>
      </c>
      <c r="I573" s="13">
        <f t="shared" si="195"/>
        <v>49.489921561105348</v>
      </c>
      <c r="J573" s="14">
        <f t="shared" si="196"/>
        <v>139.06667958670604</v>
      </c>
      <c r="K573" s="15">
        <f t="shared" si="197"/>
        <v>40.860006413439294</v>
      </c>
      <c r="L573" s="14">
        <f t="shared" si="198"/>
        <v>114.81661802176441</v>
      </c>
    </row>
    <row r="574" spans="1:12">
      <c r="A574" s="28">
        <f t="shared" si="199"/>
        <v>12</v>
      </c>
      <c r="B574" s="13">
        <f>(VLOOKUP(E$23,'Aging Factor'!$A$145:$G$242,5,1)*(SQRT(A574+K$23-L$23)*Calibration!$B$49)-((0.32989795*(A574+K$23-L$23)-1.302)))</f>
        <v>14.569952916847413</v>
      </c>
      <c r="C574" s="13">
        <f>A574*$B$50*(VLOOKUP(E$23,'Aging Factor'!$A$145:$G$242,5,1)*(G$23/L$23/12500)*('Degradation Model'!$B$26/F$23))</f>
        <v>28.36075630347964</v>
      </c>
      <c r="D574" s="13">
        <f>D573+(C563*100/I573)</f>
        <v>40.347109201569815</v>
      </c>
      <c r="E574" s="13">
        <f>((VLOOKUP(E$23,'Aging Factor'!$A$145:$H$242,8,1)-1)*F574*J$23/7)</f>
        <v>0.84302770526077608</v>
      </c>
      <c r="F574" s="13">
        <f t="shared" si="193"/>
        <v>54.917062118417228</v>
      </c>
      <c r="G574" s="13">
        <f t="shared" si="194"/>
        <v>55.760089823678001</v>
      </c>
      <c r="H574" s="13">
        <f t="shared" si="200"/>
        <v>5.2500113847833489</v>
      </c>
      <c r="I574" s="13">
        <f t="shared" si="195"/>
        <v>44.239910176321999</v>
      </c>
      <c r="J574" s="14">
        <f t="shared" si="196"/>
        <v>124.31414759546482</v>
      </c>
      <c r="K574" s="15">
        <f t="shared" si="197"/>
        <v>36.525477440949125</v>
      </c>
      <c r="L574" s="14">
        <f t="shared" si="198"/>
        <v>102.63659160906704</v>
      </c>
    </row>
    <row r="575" spans="1:12">
      <c r="A575" s="28">
        <f t="shared" si="199"/>
        <v>13</v>
      </c>
      <c r="B575" s="13">
        <f>(VLOOKUP(E$23,'Aging Factor'!$A$145:$G$242,5,1)*(SQRT(A575+K$23-L$23)*Calibration!$B$49)-((0.32989795*(A575+K$23-L$23)-1.302)))</f>
        <v>14.935868302978033</v>
      </c>
      <c r="C575" s="13">
        <f>A575*$B$50*(VLOOKUP(E$23,'Aging Factor'!$A$145:$G$242,5,1)*(G$23/L$23/12500)*('Degradation Model'!$B$26/F$23))</f>
        <v>30.724152662102945</v>
      </c>
      <c r="D575" s="13">
        <f>D574+(C563*100/I574)</f>
        <v>45.689336048784881</v>
      </c>
      <c r="E575" s="13">
        <f>((VLOOKUP(E$23,'Aging Factor'!$A$145:$H$242,8,1)-1)*F575*J$23/7)</f>
        <v>0.93065296893389815</v>
      </c>
      <c r="F575" s="13">
        <f t="shared" si="193"/>
        <v>60.625204351762918</v>
      </c>
      <c r="G575" s="13">
        <f t="shared" si="194"/>
        <v>61.555857320696816</v>
      </c>
      <c r="H575" s="13">
        <f t="shared" si="200"/>
        <v>5.7957674970188151</v>
      </c>
      <c r="I575" s="13">
        <f t="shared" si="195"/>
        <v>38.444142679303184</v>
      </c>
      <c r="J575" s="14">
        <f t="shared" si="196"/>
        <v>108.02804092884195</v>
      </c>
      <c r="K575" s="15">
        <f t="shared" si="197"/>
        <v>31.740359792164906</v>
      </c>
      <c r="L575" s="14">
        <f t="shared" si="198"/>
        <v>89.190411015983386</v>
      </c>
    </row>
    <row r="576" spans="1:12">
      <c r="A576" s="28">
        <f t="shared" si="199"/>
        <v>14</v>
      </c>
      <c r="B576" s="13">
        <f>(VLOOKUP(E$23,'Aging Factor'!$A$145:$G$242,5,1)*(SQRT(A576+K$23-L$23)*Calibration!$B$49)-((0.32989795*(A576+K$23-L$23)-1.302)))</f>
        <v>15.275841972794336</v>
      </c>
      <c r="C576" s="13">
        <f>A576*$B$50*(VLOOKUP(E$23,'Aging Factor'!$A$145:$G$242,5,1)*(G$23/L$23/12500)*('Degradation Model'!$B$26/F$23))</f>
        <v>33.087549020726243</v>
      </c>
      <c r="D576" s="13">
        <f>D575+(C563*100/I575)</f>
        <v>51.836947086280233</v>
      </c>
      <c r="E576" s="13">
        <f>((VLOOKUP(E$23,'Aging Factor'!$A$145:$H$242,8,1)-1)*F576*J$23/7)</f>
        <v>1.030243395615803</v>
      </c>
      <c r="F576" s="13">
        <f t="shared" si="193"/>
        <v>67.112789059074572</v>
      </c>
      <c r="G576" s="13">
        <f t="shared" si="194"/>
        <v>68.143032454690371</v>
      </c>
      <c r="H576" s="13">
        <f t="shared" si="200"/>
        <v>6.5871751339935543</v>
      </c>
      <c r="I576" s="13">
        <f t="shared" si="195"/>
        <v>31.856967545309629</v>
      </c>
      <c r="J576" s="14">
        <f t="shared" si="196"/>
        <v>89.518078802320048</v>
      </c>
      <c r="K576" s="15">
        <f t="shared" si="197"/>
        <v>26.30183797335172</v>
      </c>
      <c r="L576" s="14">
        <f t="shared" si="198"/>
        <v>73.908164705118338</v>
      </c>
    </row>
    <row r="577" spans="1:12">
      <c r="A577" s="28">
        <f t="shared" si="199"/>
        <v>15</v>
      </c>
      <c r="B577" s="13">
        <f>(VLOOKUP(E$23,'Aging Factor'!$A$145:$G$242,5,1)*(SQRT(A577+K$23-L$23)*Calibration!$B$49)-((0.32989795*(A577+K$23-L$23)-1.302)))</f>
        <v>15.59257573514668</v>
      </c>
      <c r="C577" s="13">
        <f>A577*$B$50*(VLOOKUP(E$23,'Aging Factor'!$A$145:$G$242,5,1)*(G$23/L$23/12500)*('Degradation Model'!$B$26/F$23))</f>
        <v>35.450945379349548</v>
      </c>
      <c r="D577" s="13">
        <f>D576+(C563*100/I576)</f>
        <v>59.255720876540977</v>
      </c>
      <c r="E577" s="13">
        <f>((VLOOKUP(E$23,'Aging Factor'!$A$145:$H$242,8,1)-1)*F577*J$23/7)</f>
        <v>1.1489905923803552</v>
      </c>
      <c r="F577" s="13">
        <f t="shared" si="193"/>
        <v>74.848296611687658</v>
      </c>
      <c r="G577" s="13">
        <f t="shared" si="194"/>
        <v>75.997287204068016</v>
      </c>
      <c r="H577" s="13">
        <f t="shared" si="200"/>
        <v>7.8542547493776453</v>
      </c>
      <c r="I577" s="13">
        <f t="shared" si="195"/>
        <v>24.002712795931984</v>
      </c>
      <c r="J577" s="14">
        <f t="shared" si="196"/>
        <v>67.447622956568878</v>
      </c>
      <c r="K577" s="15">
        <f t="shared" si="197"/>
        <v>19.817186365324627</v>
      </c>
      <c r="L577" s="14">
        <f t="shared" si="198"/>
        <v>55.686293686562202</v>
      </c>
    </row>
    <row r="580" spans="1:12">
      <c r="A580" s="7" t="s">
        <v>110</v>
      </c>
    </row>
    <row r="582" spans="1:12">
      <c r="A582" s="29"/>
      <c r="B582" s="29" t="s">
        <v>54</v>
      </c>
      <c r="C582" s="29" t="s">
        <v>54</v>
      </c>
      <c r="D582" s="29" t="s">
        <v>2</v>
      </c>
      <c r="E582" s="29" t="s">
        <v>3</v>
      </c>
      <c r="F582" s="29" t="s">
        <v>4</v>
      </c>
      <c r="G582" s="29" t="s">
        <v>54</v>
      </c>
      <c r="H582" s="29" t="s">
        <v>55</v>
      </c>
      <c r="I582" s="29" t="s">
        <v>6</v>
      </c>
      <c r="J582" s="29" t="s">
        <v>7</v>
      </c>
      <c r="K582" s="29" t="s">
        <v>8</v>
      </c>
      <c r="L582" s="29" t="s">
        <v>8</v>
      </c>
    </row>
    <row r="583" spans="1:12">
      <c r="A583" s="29" t="s">
        <v>56</v>
      </c>
      <c r="B583" s="29" t="s">
        <v>9</v>
      </c>
      <c r="C583" s="29" t="s">
        <v>10</v>
      </c>
      <c r="D583" s="29" t="s">
        <v>10</v>
      </c>
      <c r="E583" s="29" t="s">
        <v>11</v>
      </c>
      <c r="F583" s="29" t="s">
        <v>10</v>
      </c>
      <c r="G583" s="29" t="s">
        <v>12</v>
      </c>
      <c r="H583" s="29" t="s">
        <v>57</v>
      </c>
      <c r="I583" s="29" t="s">
        <v>52</v>
      </c>
      <c r="J583" s="29" t="s">
        <v>14</v>
      </c>
      <c r="K583" s="29" t="s">
        <v>15</v>
      </c>
      <c r="L583" s="29" t="s">
        <v>14</v>
      </c>
    </row>
    <row r="584" spans="1:12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</row>
    <row r="585" spans="1:12">
      <c r="A585" s="32">
        <v>1</v>
      </c>
      <c r="B585" s="13">
        <f>(VLOOKUP(E$24,'Aging Factor'!$A$145:$G$242,5,1)*(SQRT(A585+K$24-L$24)*Calibration!$B$49)-((0.32989795*(A585+K$24-L$24)-1.302)))</f>
        <v>7.1827815734916935</v>
      </c>
      <c r="C585" s="13">
        <f>A585*$B$50*(VLOOKUP(E$24,'Aging Factor'!$A$145:$G$242,5,1)*(G$24/L$24/12500)*('Degradation Model'!$B$26/F$24))</f>
        <v>2.2222215339522839</v>
      </c>
      <c r="D585" s="13">
        <f>C585</f>
        <v>2.2222215339522839</v>
      </c>
      <c r="E585" s="13">
        <f>((VLOOKUP(E$24,'Aging Factor'!$A$145:$H$242,8,1)-1)*F585*J$24/7)</f>
        <v>1.744017584375861</v>
      </c>
      <c r="F585" s="13">
        <f t="shared" ref="F585:F599" si="201">B585+D585</f>
        <v>9.4050031074439779</v>
      </c>
      <c r="G585" s="13">
        <f t="shared" ref="G585:G599" si="202">F585+E585</f>
        <v>11.149020691819839</v>
      </c>
      <c r="H585" s="13">
        <f>G585</f>
        <v>11.149020691819839</v>
      </c>
      <c r="I585" s="13">
        <f t="shared" ref="I585:I599" si="203">IF(100-G585&lt;=5,5,100-G585)</f>
        <v>88.850979308180158</v>
      </c>
      <c r="J585" s="33">
        <f t="shared" ref="J585:J599" si="204">IF(281*I585/100&gt;0,281*I585/100,0)</f>
        <v>249.67125185598624</v>
      </c>
      <c r="K585" s="15">
        <f t="shared" ref="K585:K599" si="205">IF(L585/281*100&gt;0,L585/281*100,0)</f>
        <v>73.357392169031314</v>
      </c>
      <c r="L585" s="14">
        <f t="shared" ref="L585:L599" si="206">IF(I585*232/100&gt;0,I585*232/100,0)</f>
        <v>206.13427199497798</v>
      </c>
    </row>
    <row r="586" spans="1:12">
      <c r="A586" s="28">
        <f t="shared" ref="A586:A599" si="207">A585+1</f>
        <v>2</v>
      </c>
      <c r="B586" s="13">
        <f>(VLOOKUP(E$24,'Aging Factor'!$A$145:$G$242,5,1)*(SQRT(A586+K$24-L$24)*Calibration!$B$49)-((0.32989795*(A586+K$24-L$24)-1.302)))</f>
        <v>9.3332837561978739</v>
      </c>
      <c r="C586" s="13">
        <f>A586*$B$50*(VLOOKUP(E$24,'Aging Factor'!$A$145:$G$242,5,1)*(G$24/L$24/12500)*('Degradation Model'!$B$26/F$24))</f>
        <v>4.4444430679045679</v>
      </c>
      <c r="D586" s="13">
        <f>D585+(C585*100/I585)</f>
        <v>4.7232874211885907</v>
      </c>
      <c r="E586" s="13">
        <f>((VLOOKUP(E$24,'Aging Factor'!$A$145:$H$242,8,1)-1)*F586*J$24/7)</f>
        <v>2.606581521487171</v>
      </c>
      <c r="F586" s="13">
        <f t="shared" si="201"/>
        <v>14.056571177386465</v>
      </c>
      <c r="G586" s="13">
        <f t="shared" si="202"/>
        <v>16.663152698873635</v>
      </c>
      <c r="H586" s="13">
        <f t="shared" ref="H586:H599" si="208">G586-G585</f>
        <v>5.5141320070537958</v>
      </c>
      <c r="I586" s="13">
        <f t="shared" si="203"/>
        <v>83.336847301126369</v>
      </c>
      <c r="J586" s="14">
        <f t="shared" si="204"/>
        <v>234.1765409161651</v>
      </c>
      <c r="K586" s="15">
        <f t="shared" si="205"/>
        <v>68.804799195236015</v>
      </c>
      <c r="L586" s="14">
        <f t="shared" si="206"/>
        <v>193.34148573861319</v>
      </c>
    </row>
    <row r="587" spans="1:12">
      <c r="A587" s="28">
        <f t="shared" si="207"/>
        <v>3</v>
      </c>
      <c r="B587" s="13">
        <f>(VLOOKUP(E$24,'Aging Factor'!$A$145:$G$242,5,1)*(SQRT(A587+K$24-L$24)*Calibration!$B$49)-((0.32989795*(A587+K$24-L$24)-1.302)))</f>
        <v>10.919592740751465</v>
      </c>
      <c r="C587" s="13">
        <f>A587*$B$50*(VLOOKUP(E$24,'Aging Factor'!$A$145:$G$242,5,1)*(G$24/L$24/12500)*('Degradation Model'!$B$26/F$24))</f>
        <v>6.6666646018568514</v>
      </c>
      <c r="D587" s="13">
        <f>D586+(C585*100/I586)</f>
        <v>7.3898408197382004</v>
      </c>
      <c r="E587" s="13">
        <f>((VLOOKUP(E$24,'Aging Factor'!$A$145:$H$242,8,1)-1)*F587*J$24/7)</f>
        <v>3.3952114342398922</v>
      </c>
      <c r="F587" s="13">
        <f t="shared" si="201"/>
        <v>18.309433560489666</v>
      </c>
      <c r="G587" s="13">
        <f t="shared" si="202"/>
        <v>21.704644994729559</v>
      </c>
      <c r="H587" s="13">
        <f t="shared" si="208"/>
        <v>5.0414922958559245</v>
      </c>
      <c r="I587" s="13">
        <f t="shared" si="203"/>
        <v>78.295355005270437</v>
      </c>
      <c r="J587" s="14">
        <f t="shared" si="204"/>
        <v>220.00994756480992</v>
      </c>
      <c r="K587" s="15">
        <f t="shared" si="205"/>
        <v>64.642428331753536</v>
      </c>
      <c r="L587" s="14">
        <f t="shared" si="206"/>
        <v>181.64522361222743</v>
      </c>
    </row>
    <row r="588" spans="1:12">
      <c r="A588" s="28">
        <f t="shared" si="207"/>
        <v>4</v>
      </c>
      <c r="B588" s="13">
        <f>(VLOOKUP(E$24,'Aging Factor'!$A$145:$G$242,5,1)*(SQRT(A588+K$24-L$24)*Calibration!$B$49)-((0.32989795*(A588+K$24-L$24)-1.302)))</f>
        <v>12.209562350515853</v>
      </c>
      <c r="C588" s="13">
        <f>A588*$B$50*(VLOOKUP(E$24,'Aging Factor'!$A$145:$G$242,5,1)*(G$24/L$24/12500)*('Degradation Model'!$B$26/F$24))</f>
        <v>8.8888861358091358</v>
      </c>
      <c r="D588" s="13">
        <f>D587+(C585*100/I587)</f>
        <v>10.22809544391443</v>
      </c>
      <c r="E588" s="13">
        <f>((VLOOKUP(E$24,'Aging Factor'!$A$145:$H$242,8,1)-1)*F588*J$24/7)</f>
        <v>4.1607290607615148</v>
      </c>
      <c r="F588" s="13">
        <f t="shared" si="201"/>
        <v>22.437657794430283</v>
      </c>
      <c r="G588" s="13">
        <f t="shared" si="202"/>
        <v>26.598386855191798</v>
      </c>
      <c r="H588" s="13">
        <f t="shared" si="208"/>
        <v>4.8937418604622387</v>
      </c>
      <c r="I588" s="13">
        <f t="shared" si="203"/>
        <v>73.401613144808209</v>
      </c>
      <c r="J588" s="14">
        <f t="shared" si="204"/>
        <v>206.25853293691108</v>
      </c>
      <c r="K588" s="15">
        <f t="shared" si="205"/>
        <v>60.602043592866565</v>
      </c>
      <c r="L588" s="14">
        <f t="shared" si="206"/>
        <v>170.29174249595505</v>
      </c>
    </row>
    <row r="589" spans="1:12">
      <c r="A589" s="32">
        <f t="shared" si="207"/>
        <v>5</v>
      </c>
      <c r="B589" s="13">
        <f>(VLOOKUP(E$24,'Aging Factor'!$A$145:$G$242,5,1)*(SQRT(A589+K$24-L$24)*Calibration!$B$49)-((0.32989795*(A589+K$24-L$24)-1.302)))</f>
        <v>13.308934581500525</v>
      </c>
      <c r="C589" s="13">
        <f>A589*$B$50*(VLOOKUP(E$24,'Aging Factor'!$A$145:$G$242,5,1)*(G$24/L$24/12500)*('Degradation Model'!$B$26/F$24))</f>
        <v>11.11110766976142</v>
      </c>
      <c r="D589" s="13">
        <f>D588+(C585*100/I588)</f>
        <v>13.255578681330807</v>
      </c>
      <c r="E589" s="13">
        <f>((VLOOKUP(E$24,'Aging Factor'!$A$145:$H$242,8,1)-1)*F589*J$24/7)</f>
        <v>4.9259928701240554</v>
      </c>
      <c r="F589" s="13">
        <f t="shared" si="201"/>
        <v>26.564513262831333</v>
      </c>
      <c r="G589" s="13">
        <f t="shared" si="202"/>
        <v>31.490506132955389</v>
      </c>
      <c r="H589" s="13">
        <f t="shared" si="208"/>
        <v>4.8921192777635909</v>
      </c>
      <c r="I589" s="13">
        <f t="shared" si="203"/>
        <v>68.509493867044611</v>
      </c>
      <c r="J589" s="33">
        <f t="shared" si="204"/>
        <v>192.51167776639537</v>
      </c>
      <c r="K589" s="15">
        <f t="shared" si="205"/>
        <v>56.562998495211211</v>
      </c>
      <c r="L589" s="14">
        <f t="shared" si="206"/>
        <v>158.94202577154351</v>
      </c>
    </row>
    <row r="590" spans="1:12">
      <c r="A590" s="28">
        <f t="shared" si="207"/>
        <v>6</v>
      </c>
      <c r="B590" s="13">
        <f>(VLOOKUP(E$24,'Aging Factor'!$A$145:$G$242,5,1)*(SQRT(A590+K$24-L$24)*Calibration!$B$49)-((0.32989795*(A590+K$24-L$24)-1.302)))</f>
        <v>14.27241926456529</v>
      </c>
      <c r="C590" s="13">
        <f>A590*$B$50*(VLOOKUP(E$24,'Aging Factor'!$A$145:$G$242,5,1)*(G$24/L$24/12500)*('Degradation Model'!$B$26/F$24))</f>
        <v>13.333329203713703</v>
      </c>
      <c r="D590" s="13">
        <f>D589+(C585*100/I589)</f>
        <v>16.49924814744147</v>
      </c>
      <c r="E590" s="13">
        <f>((VLOOKUP(E$24,'Aging Factor'!$A$145:$H$242,8,1)-1)*F590*J$24/7)</f>
        <v>5.7061468724692928</v>
      </c>
      <c r="F590" s="13">
        <f t="shared" si="201"/>
        <v>30.77166741200676</v>
      </c>
      <c r="G590" s="13">
        <f t="shared" si="202"/>
        <v>36.477814284476054</v>
      </c>
      <c r="H590" s="13">
        <f t="shared" si="208"/>
        <v>4.987308151520665</v>
      </c>
      <c r="I590" s="13">
        <f t="shared" si="203"/>
        <v>63.522185715523946</v>
      </c>
      <c r="J590" s="14">
        <f t="shared" si="204"/>
        <v>178.4973418606223</v>
      </c>
      <c r="K590" s="15">
        <f t="shared" si="205"/>
        <v>52.445363295379202</v>
      </c>
      <c r="L590" s="14">
        <f t="shared" si="206"/>
        <v>147.37147086001556</v>
      </c>
    </row>
    <row r="591" spans="1:12">
      <c r="A591" s="28">
        <f t="shared" si="207"/>
        <v>7</v>
      </c>
      <c r="B591" s="13">
        <f>(VLOOKUP(E$24,'Aging Factor'!$A$145:$G$242,5,1)*(SQRT(A591+K$24-L$24)*Calibration!$B$49)-((0.32989795*(A591+K$24-L$24)-1.302)))</f>
        <v>15.132686559597271</v>
      </c>
      <c r="C591" s="13">
        <f>A591*$B$50*(VLOOKUP(E$24,'Aging Factor'!$A$145:$G$242,5,1)*(G$24/L$24/12500)*('Degradation Model'!$B$26/F$24))</f>
        <v>15.555550737665987</v>
      </c>
      <c r="D591" s="13">
        <f>D590+(C585*100/I590)</f>
        <v>19.997587363765387</v>
      </c>
      <c r="E591" s="13">
        <f>((VLOOKUP(E$24,'Aging Factor'!$A$145:$H$242,8,1)-1)*F591*J$24/7)</f>
        <v>6.514385457011949</v>
      </c>
      <c r="F591" s="13">
        <f t="shared" si="201"/>
        <v>35.130273923362658</v>
      </c>
      <c r="G591" s="13">
        <f t="shared" si="202"/>
        <v>41.644659380374605</v>
      </c>
      <c r="H591" s="13">
        <f t="shared" si="208"/>
        <v>5.1668450958985517</v>
      </c>
      <c r="I591" s="13">
        <f t="shared" si="203"/>
        <v>58.355340619625395</v>
      </c>
      <c r="J591" s="14">
        <f t="shared" si="204"/>
        <v>163.97850714114736</v>
      </c>
      <c r="K591" s="15">
        <f t="shared" si="205"/>
        <v>48.179498305171144</v>
      </c>
      <c r="L591" s="14">
        <f t="shared" si="206"/>
        <v>135.38439023753091</v>
      </c>
    </row>
    <row r="592" spans="1:12">
      <c r="A592" s="28">
        <f t="shared" si="207"/>
        <v>8</v>
      </c>
      <c r="B592" s="13">
        <f>(VLOOKUP(E$24,'Aging Factor'!$A$145:$G$242,5,1)*(SQRT(A592+K$24-L$24)*Calibration!$B$49)-((0.32989795*(A592+K$24-L$24)-1.302)))</f>
        <v>15.911097272196113</v>
      </c>
      <c r="C592" s="13">
        <f>A592*$B$50*(VLOOKUP(E$24,'Aging Factor'!$A$145:$G$242,5,1)*(G$24/L$24/12500)*('Degradation Model'!$B$26/F$24))</f>
        <v>17.777772271618272</v>
      </c>
      <c r="D592" s="13">
        <f>D591+(C585*100/I591)</f>
        <v>23.805673325318203</v>
      </c>
      <c r="E592" s="13">
        <f>((VLOOKUP(E$24,'Aging Factor'!$A$145:$H$242,8,1)-1)*F592*J$24/7)</f>
        <v>7.3648828740804033</v>
      </c>
      <c r="F592" s="13">
        <f t="shared" si="201"/>
        <v>39.716770597514312</v>
      </c>
      <c r="G592" s="13">
        <f t="shared" si="202"/>
        <v>47.081653471594713</v>
      </c>
      <c r="H592" s="13">
        <f t="shared" si="208"/>
        <v>5.4369940912201074</v>
      </c>
      <c r="I592" s="13">
        <f t="shared" si="203"/>
        <v>52.918346528405287</v>
      </c>
      <c r="J592" s="14">
        <f t="shared" si="204"/>
        <v>148.70055374481888</v>
      </c>
      <c r="K592" s="15">
        <f t="shared" si="205"/>
        <v>43.69059215156593</v>
      </c>
      <c r="L592" s="14">
        <f t="shared" si="206"/>
        <v>122.77056394590026</v>
      </c>
    </row>
    <row r="593" spans="1:12">
      <c r="A593" s="28">
        <f t="shared" si="207"/>
        <v>9</v>
      </c>
      <c r="B593" s="13">
        <f>(VLOOKUP(E$24,'Aging Factor'!$A$145:$G$242,5,1)*(SQRT(A593+K$24-L$24)*Calibration!$B$49)-((0.32989795*(A593+K$24-L$24)-1.302)))</f>
        <v>16.622525923623819</v>
      </c>
      <c r="C593" s="13">
        <f>A593*$B$50*(VLOOKUP(E$24,'Aging Factor'!$A$145:$G$242,5,1)*(G$24/L$24/12500)*('Degradation Model'!$B$26/F$24))</f>
        <v>19.999993805570554</v>
      </c>
      <c r="D593" s="13">
        <f>D592+(C585*100/I592)</f>
        <v>28.005013780446461</v>
      </c>
      <c r="E593" s="13">
        <f>((VLOOKUP(E$24,'Aging Factor'!$A$145:$H$242,8,1)-1)*F593*J$24/7)</f>
        <v>8.2755117783775898</v>
      </c>
      <c r="F593" s="13">
        <f t="shared" si="201"/>
        <v>44.62753970407028</v>
      </c>
      <c r="G593" s="13">
        <f t="shared" si="202"/>
        <v>52.903051482447871</v>
      </c>
      <c r="H593" s="13">
        <f t="shared" si="208"/>
        <v>5.8213980108531587</v>
      </c>
      <c r="I593" s="13">
        <f t="shared" si="203"/>
        <v>47.096948517552129</v>
      </c>
      <c r="J593" s="14">
        <f t="shared" si="204"/>
        <v>132.34242533432149</v>
      </c>
      <c r="K593" s="15">
        <f t="shared" si="205"/>
        <v>38.884313366804605</v>
      </c>
      <c r="L593" s="14">
        <f t="shared" si="206"/>
        <v>109.26492056072092</v>
      </c>
    </row>
    <row r="594" spans="1:12">
      <c r="A594" s="32">
        <f t="shared" si="207"/>
        <v>10</v>
      </c>
      <c r="B594" s="13">
        <f>(VLOOKUP(E$24,'Aging Factor'!$A$145:$G$242,5,1)*(SQRT(A594+K$24-L$24)*Calibration!$B$49)-((0.32989795*(A594+K$24-L$24)-1.302)))</f>
        <v>17.277823092118176</v>
      </c>
      <c r="C594" s="13">
        <f>A594*$B$50*(VLOOKUP(E$24,'Aging Factor'!$A$145:$G$242,5,1)*(G$24/L$24/12500)*('Degradation Model'!$B$26/F$24))</f>
        <v>22.22221533952284</v>
      </c>
      <c r="D594" s="13">
        <f>D593+(C585*100/I593)</f>
        <v>32.723411901556375</v>
      </c>
      <c r="E594" s="13">
        <f>((VLOOKUP(E$24,'Aging Factor'!$A$145:$H$242,8,1)-1)*F594*J$24/7)</f>
        <v>9.2719834404368893</v>
      </c>
      <c r="F594" s="13">
        <f t="shared" si="201"/>
        <v>50.001234993674551</v>
      </c>
      <c r="G594" s="13">
        <f t="shared" si="202"/>
        <v>59.273218434111442</v>
      </c>
      <c r="H594" s="13">
        <f t="shared" si="208"/>
        <v>6.3701669516635704</v>
      </c>
      <c r="I594" s="13">
        <f t="shared" si="203"/>
        <v>40.726781565888558</v>
      </c>
      <c r="J594" s="33">
        <f t="shared" si="204"/>
        <v>114.44225620014684</v>
      </c>
      <c r="K594" s="15">
        <f t="shared" si="205"/>
        <v>33.624958445858169</v>
      </c>
      <c r="L594" s="14">
        <f t="shared" si="206"/>
        <v>94.486133232861448</v>
      </c>
    </row>
    <row r="595" spans="1:12">
      <c r="A595" s="28">
        <f t="shared" si="207"/>
        <v>11</v>
      </c>
      <c r="B595" s="13">
        <f>(VLOOKUP(E$24,'Aging Factor'!$A$145:$G$242,5,1)*(SQRT(A595+K$24-L$24)*Calibration!$B$49)-((0.32989795*(A595+K$24-L$24)-1.302)))</f>
        <v>17.885192241883971</v>
      </c>
      <c r="C595" s="13">
        <f>A595*$B$50*(VLOOKUP(E$24,'Aging Factor'!$A$145:$G$242,5,1)*(G$24/L$24/12500)*('Degradation Model'!$B$26/F$24))</f>
        <v>24.444436873475123</v>
      </c>
      <c r="D595" s="13">
        <f>D594+(C585*100/I594)</f>
        <v>38.179825221025609</v>
      </c>
      <c r="E595" s="13">
        <f>((VLOOKUP(E$24,'Aging Factor'!$A$145:$H$242,8,1)-1)*F595*J$24/7)</f>
        <v>10.396421479782743</v>
      </c>
      <c r="F595" s="13">
        <f t="shared" si="201"/>
        <v>56.06501746290958</v>
      </c>
      <c r="G595" s="13">
        <f t="shared" si="202"/>
        <v>66.461438942692325</v>
      </c>
      <c r="H595" s="13">
        <f t="shared" si="208"/>
        <v>7.1882205085808835</v>
      </c>
      <c r="I595" s="13">
        <f t="shared" si="203"/>
        <v>33.538561057307675</v>
      </c>
      <c r="J595" s="14">
        <f t="shared" si="204"/>
        <v>94.243356571034568</v>
      </c>
      <c r="K595" s="15">
        <f t="shared" si="205"/>
        <v>27.690199876496013</v>
      </c>
      <c r="L595" s="14">
        <f t="shared" si="206"/>
        <v>77.8094616529538</v>
      </c>
    </row>
    <row r="596" spans="1:12">
      <c r="A596" s="28">
        <f t="shared" si="207"/>
        <v>12</v>
      </c>
      <c r="B596" s="13">
        <f>(VLOOKUP(E$24,'Aging Factor'!$A$145:$G$242,5,1)*(SQRT(A596+K$24-L$24)*Calibration!$B$49)-((0.32989795*(A596+K$24-L$24)-1.302)))</f>
        <v>18.451014258004953</v>
      </c>
      <c r="C596" s="13">
        <f>A596*$B$50*(VLOOKUP(E$24,'Aging Factor'!$A$145:$G$242,5,1)*(G$24/L$24/12500)*('Degradation Model'!$B$26/F$24))</f>
        <v>26.666658407427406</v>
      </c>
      <c r="D596" s="13">
        <f>D595+(C585*100/I595)</f>
        <v>44.80569545485929</v>
      </c>
      <c r="E596" s="13">
        <f>((VLOOKUP(E$24,'Aging Factor'!$A$145:$H$242,8,1)-1)*F596*J$24/7)</f>
        <v>11.730013569232804</v>
      </c>
      <c r="F596" s="13">
        <f t="shared" si="201"/>
        <v>63.256709712864243</v>
      </c>
      <c r="G596" s="13">
        <f t="shared" si="202"/>
        <v>74.986723282097046</v>
      </c>
      <c r="H596" s="13">
        <f t="shared" si="208"/>
        <v>8.5252843394047204</v>
      </c>
      <c r="I596" s="13">
        <f t="shared" si="203"/>
        <v>25.013276717902954</v>
      </c>
      <c r="J596" s="14">
        <f t="shared" si="204"/>
        <v>70.287307577307303</v>
      </c>
      <c r="K596" s="15">
        <f t="shared" si="205"/>
        <v>20.651530955706352</v>
      </c>
      <c r="L596" s="14">
        <f t="shared" si="206"/>
        <v>58.03080198553485</v>
      </c>
    </row>
    <row r="597" spans="1:12">
      <c r="A597" s="28">
        <f t="shared" si="207"/>
        <v>13</v>
      </c>
      <c r="B597" s="13">
        <f>(VLOOKUP(E$24,'Aging Factor'!$A$145:$G$242,5,1)*(SQRT(A597+K$24-L$24)*Calibration!$B$49)-((0.32989795*(A597+K$24-L$24)-1.302)))</f>
        <v>18.980368506520158</v>
      </c>
      <c r="C597" s="13">
        <f>A597*$B$50*(VLOOKUP(E$24,'Aging Factor'!$A$145:$G$242,5,1)*(G$24/L$24/12500)*('Degradation Model'!$B$26/F$24))</f>
        <v>28.888879941379692</v>
      </c>
      <c r="D597" s="13">
        <f>D596+(C585*100/I596)</f>
        <v>53.68986348695784</v>
      </c>
      <c r="E597" s="13">
        <f>((VLOOKUP(E$24,'Aging Factor'!$A$145:$H$242,8,1)-1)*F597*J$24/7)</f>
        <v>13.475610907240078</v>
      </c>
      <c r="F597" s="13">
        <f t="shared" si="201"/>
        <v>72.670231993477998</v>
      </c>
      <c r="G597" s="13">
        <f t="shared" si="202"/>
        <v>86.14584290071808</v>
      </c>
      <c r="H597" s="13">
        <f t="shared" si="208"/>
        <v>11.159119618621034</v>
      </c>
      <c r="I597" s="13">
        <f t="shared" si="203"/>
        <v>13.85415709928192</v>
      </c>
      <c r="J597" s="14">
        <f t="shared" si="204"/>
        <v>38.930181448982196</v>
      </c>
      <c r="K597" s="15">
        <f t="shared" si="205"/>
        <v>11.438307640688276</v>
      </c>
      <c r="L597" s="14">
        <f t="shared" si="206"/>
        <v>32.141644470334057</v>
      </c>
    </row>
    <row r="598" spans="1:12">
      <c r="A598" s="28">
        <f t="shared" si="207"/>
        <v>14</v>
      </c>
      <c r="B598" s="13">
        <f>(VLOOKUP(E$24,'Aging Factor'!$A$145:$G$242,5,1)*(SQRT(A598+K$24-L$24)*Calibration!$B$49)-((0.32989795*(A598+K$24-L$24)-1.302)))</f>
        <v>19.477376703952764</v>
      </c>
      <c r="C598" s="13">
        <f>A598*$B$50*(VLOOKUP(E$24,'Aging Factor'!$A$145:$G$242,5,1)*(G$24/L$24/12500)*('Degradation Model'!$B$26/F$24))</f>
        <v>31.111101475331974</v>
      </c>
      <c r="D598" s="13">
        <f>D597+(C585*100/I597)</f>
        <v>69.729969846567869</v>
      </c>
      <c r="E598" s="13">
        <f>((VLOOKUP(E$24,'Aging Factor'!$A$145:$H$242,8,1)-1)*F598*J$24/7)</f>
        <v>16.542172210073989</v>
      </c>
      <c r="F598" s="13">
        <f t="shared" si="201"/>
        <v>89.20734655052064</v>
      </c>
      <c r="G598" s="13">
        <f t="shared" si="202"/>
        <v>105.74951876059463</v>
      </c>
      <c r="H598" s="13">
        <f t="shared" si="208"/>
        <v>19.603675859876546</v>
      </c>
      <c r="I598" s="13">
        <f t="shared" si="203"/>
        <v>5</v>
      </c>
      <c r="J598" s="14">
        <f t="shared" si="204"/>
        <v>14.05</v>
      </c>
      <c r="K598" s="15">
        <f t="shared" si="205"/>
        <v>4.1281138790035588</v>
      </c>
      <c r="L598" s="14">
        <f t="shared" si="206"/>
        <v>11.6</v>
      </c>
    </row>
    <row r="599" spans="1:12">
      <c r="A599" s="28">
        <f t="shared" si="207"/>
        <v>15</v>
      </c>
      <c r="B599" s="13">
        <f>(VLOOKUP(E$24,'Aging Factor'!$A$145:$G$242,5,1)*(SQRT(A599+K$24-L$24)*Calibration!$B$49)-((0.32989795*(A599+K$24-L$24)-1.302)))</f>
        <v>19.945438108859275</v>
      </c>
      <c r="C599" s="13">
        <f>A599*$B$50*(VLOOKUP(E$24,'Aging Factor'!$A$145:$G$242,5,1)*(G$24/L$24/12500)*('Degradation Model'!$B$26/F$24))</f>
        <v>33.333323009284257</v>
      </c>
      <c r="D599" s="13">
        <f>D598+(C585*100/I598)</f>
        <v>114.17440052561355</v>
      </c>
      <c r="E599" s="13">
        <f>((VLOOKUP(E$24,'Aging Factor'!$A$145:$H$242,8,1)-1)*F599*J$24/7)</f>
        <v>24.870524158257631</v>
      </c>
      <c r="F599" s="13">
        <f t="shared" si="201"/>
        <v>134.11983863447281</v>
      </c>
      <c r="G599" s="13">
        <f t="shared" si="202"/>
        <v>158.99036279273045</v>
      </c>
      <c r="H599" s="13">
        <f t="shared" si="208"/>
        <v>53.240844032135826</v>
      </c>
      <c r="I599" s="13">
        <f t="shared" si="203"/>
        <v>5</v>
      </c>
      <c r="J599" s="14">
        <f t="shared" si="204"/>
        <v>14.05</v>
      </c>
      <c r="K599" s="15">
        <f t="shared" si="205"/>
        <v>4.1281138790035588</v>
      </c>
      <c r="L599" s="14">
        <f t="shared" si="206"/>
        <v>11.6</v>
      </c>
    </row>
    <row r="602" spans="1:12">
      <c r="A602" s="7" t="s">
        <v>111</v>
      </c>
    </row>
    <row r="604" spans="1:12">
      <c r="A604" s="29"/>
      <c r="B604" s="29" t="s">
        <v>54</v>
      </c>
      <c r="C604" s="29" t="s">
        <v>54</v>
      </c>
      <c r="D604" s="29" t="s">
        <v>2</v>
      </c>
      <c r="E604" s="29" t="s">
        <v>3</v>
      </c>
      <c r="F604" s="29" t="s">
        <v>4</v>
      </c>
      <c r="G604" s="29" t="s">
        <v>54</v>
      </c>
      <c r="H604" s="29" t="s">
        <v>55</v>
      </c>
      <c r="I604" s="29" t="s">
        <v>6</v>
      </c>
      <c r="J604" s="29" t="s">
        <v>7</v>
      </c>
      <c r="K604" s="29" t="s">
        <v>8</v>
      </c>
      <c r="L604" s="29" t="s">
        <v>8</v>
      </c>
    </row>
    <row r="605" spans="1:12">
      <c r="A605" s="29" t="s">
        <v>56</v>
      </c>
      <c r="B605" s="29" t="s">
        <v>9</v>
      </c>
      <c r="C605" s="29" t="s">
        <v>10</v>
      </c>
      <c r="D605" s="29" t="s">
        <v>10</v>
      </c>
      <c r="E605" s="29" t="s">
        <v>11</v>
      </c>
      <c r="F605" s="29" t="s">
        <v>10</v>
      </c>
      <c r="G605" s="29" t="s">
        <v>12</v>
      </c>
      <c r="H605" s="29" t="s">
        <v>57</v>
      </c>
      <c r="I605" s="29" t="s">
        <v>52</v>
      </c>
      <c r="J605" s="29" t="s">
        <v>14</v>
      </c>
      <c r="K605" s="29" t="s">
        <v>15</v>
      </c>
      <c r="L605" s="29" t="s">
        <v>14</v>
      </c>
    </row>
    <row r="606" spans="1:12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</row>
    <row r="607" spans="1:12">
      <c r="A607" s="32">
        <v>1</v>
      </c>
      <c r="B607" s="13">
        <f>(VLOOKUP(E$25,'Aging Factor'!$A$145:$G$242,5,1)*(SQRT(A607+K$25-L$25)*Calibration!$B$49)-((0.32989795*(A607+K$25-L$25)-1.302)))</f>
        <v>8.037735826730172</v>
      </c>
      <c r="C607" s="13">
        <f>A607*$B$50*(VLOOKUP(E$25,'Aging Factor'!$A$145:$G$242,5,1)*(G$25/L$25/12500)*('Degradation Model'!$B$26/F$25))</f>
        <v>1.9554654386197272</v>
      </c>
      <c r="D607" s="13">
        <f>C607</f>
        <v>1.9554654386197272</v>
      </c>
      <c r="E607" s="13">
        <f>((VLOOKUP(E$25,'Aging Factor'!$A$145:$H$242,8,1)-1)*F607*J$25/7)</f>
        <v>1.3236358299235562</v>
      </c>
      <c r="F607" s="13">
        <f t="shared" ref="F607:F621" si="209">B607+D607</f>
        <v>9.9932012653498994</v>
      </c>
      <c r="G607" s="13">
        <f t="shared" ref="G607:G621" si="210">F607+E607</f>
        <v>11.316837095273456</v>
      </c>
      <c r="H607" s="13">
        <f>G607</f>
        <v>11.316837095273456</v>
      </c>
      <c r="I607" s="13">
        <f t="shared" ref="I607:I621" si="211">IF(100-G607&lt;=5,5,100-G607)</f>
        <v>88.683162904726544</v>
      </c>
      <c r="J607" s="33">
        <f t="shared" ref="J607:J621" si="212">IF(281*I607/100&gt;0,281*I607/100,0)</f>
        <v>249.19968776228157</v>
      </c>
      <c r="K607" s="15">
        <f t="shared" ref="K607:K621" si="213">IF(L607/281*100&gt;0,L607/281*100,0)</f>
        <v>73.218839124187042</v>
      </c>
      <c r="L607" s="14">
        <f t="shared" ref="L607:L621" si="214">IF(I607*232/100&gt;0,I607*232/100,0)</f>
        <v>205.74493793896559</v>
      </c>
    </row>
    <row r="608" spans="1:12">
      <c r="A608" s="28">
        <f t="shared" ref="A608:A621" si="215">A607+1</f>
        <v>2</v>
      </c>
      <c r="B608" s="13">
        <f>(VLOOKUP(E$25,'Aging Factor'!$A$145:$G$242,5,1)*(SQRT(A608+K$25-L$25)*Calibration!$B$49)-((0.32989795*(A608+K$25-L$25)-1.302)))</f>
        <v>10.442239420378506</v>
      </c>
      <c r="C608" s="13">
        <f>A608*$B$50*(VLOOKUP(E$25,'Aging Factor'!$A$145:$G$242,5,1)*(G$25/L$25/12500)*('Degradation Model'!$B$26/F$25))</f>
        <v>3.9109308772394544</v>
      </c>
      <c r="D608" s="13">
        <f>D607+(C607*100/I607)</f>
        <v>4.1604673516891886</v>
      </c>
      <c r="E608" s="13">
        <f>((VLOOKUP(E$25,'Aging Factor'!$A$145:$H$242,8,1)-1)*F608*J$25/7)</f>
        <v>1.9341815884761313</v>
      </c>
      <c r="F608" s="13">
        <f t="shared" si="209"/>
        <v>14.602706772067695</v>
      </c>
      <c r="G608" s="13">
        <f t="shared" si="210"/>
        <v>16.536888360543827</v>
      </c>
      <c r="H608" s="13">
        <f t="shared" ref="H608:H621" si="216">G608-G607</f>
        <v>5.2200512652703708</v>
      </c>
      <c r="I608" s="13">
        <f t="shared" si="211"/>
        <v>83.463111639456173</v>
      </c>
      <c r="J608" s="14">
        <f t="shared" si="212"/>
        <v>234.53134370687184</v>
      </c>
      <c r="K608" s="15">
        <f t="shared" si="213"/>
        <v>68.909045908732494</v>
      </c>
      <c r="L608" s="14">
        <f t="shared" si="214"/>
        <v>193.63441900353831</v>
      </c>
    </row>
    <row r="609" spans="1:12">
      <c r="A609" s="28">
        <f t="shared" si="215"/>
        <v>3</v>
      </c>
      <c r="B609" s="13">
        <f>(VLOOKUP(E$25,'Aging Factor'!$A$145:$G$242,5,1)*(SQRT(A609+K$25-L$25)*Calibration!$B$49)-((0.32989795*(A609+K$25-L$25)-1.302)))</f>
        <v>12.236797178321591</v>
      </c>
      <c r="C609" s="13">
        <f>A609*$B$50*(VLOOKUP(E$25,'Aging Factor'!$A$145:$G$242,5,1)*(G$25/L$25/12500)*('Degradation Model'!$B$26/F$25))</f>
        <v>5.8663963158591814</v>
      </c>
      <c r="D609" s="13">
        <f>D608+(C607*100/I608)</f>
        <v>6.5033771716189124</v>
      </c>
      <c r="E609" s="13">
        <f>((VLOOKUP(E$25,'Aging Factor'!$A$145:$H$242,8,1)-1)*F609*J$25/7)</f>
        <v>2.4822042076350712</v>
      </c>
      <c r="F609" s="13">
        <f t="shared" si="209"/>
        <v>18.740174349940503</v>
      </c>
      <c r="G609" s="13">
        <f t="shared" si="210"/>
        <v>21.222378557575574</v>
      </c>
      <c r="H609" s="13">
        <f t="shared" si="216"/>
        <v>4.6854901970317471</v>
      </c>
      <c r="I609" s="13">
        <f t="shared" si="211"/>
        <v>78.777621442424419</v>
      </c>
      <c r="J609" s="14">
        <f t="shared" si="212"/>
        <v>221.36511625321262</v>
      </c>
      <c r="K609" s="15">
        <f t="shared" si="213"/>
        <v>65.040598486272117</v>
      </c>
      <c r="L609" s="14">
        <f t="shared" si="214"/>
        <v>182.76408174642464</v>
      </c>
    </row>
    <row r="610" spans="1:12">
      <c r="A610" s="28">
        <f t="shared" si="215"/>
        <v>4</v>
      </c>
      <c r="B610" s="13">
        <f>(VLOOKUP(E$25,'Aging Factor'!$A$145:$G$242,5,1)*(SQRT(A610+K$25-L$25)*Calibration!$B$49)-((0.32989795*(A610+K$25-L$25)-1.302)))</f>
        <v>13.707022632813443</v>
      </c>
      <c r="C610" s="13">
        <f>A610*$B$50*(VLOOKUP(E$25,'Aging Factor'!$A$145:$G$242,5,1)*(G$25/L$25/12500)*('Degradation Model'!$B$26/F$25))</f>
        <v>7.8218617544789089</v>
      </c>
      <c r="D610" s="13">
        <f>D609+(C607*100/I609)</f>
        <v>8.9856372383929557</v>
      </c>
      <c r="E610" s="13">
        <f>((VLOOKUP(E$25,'Aging Factor'!$A$145:$H$242,8,1)-1)*F610*J$25/7)</f>
        <v>3.0057252810414163</v>
      </c>
      <c r="F610" s="13">
        <f t="shared" si="209"/>
        <v>22.692659871206398</v>
      </c>
      <c r="G610" s="13">
        <f t="shared" si="210"/>
        <v>25.698385152247816</v>
      </c>
      <c r="H610" s="13">
        <f t="shared" si="216"/>
        <v>4.476006594672242</v>
      </c>
      <c r="I610" s="13">
        <f t="shared" si="211"/>
        <v>74.301614847752177</v>
      </c>
      <c r="J610" s="14">
        <f t="shared" si="212"/>
        <v>208.78753772218363</v>
      </c>
      <c r="K610" s="15">
        <f t="shared" si="213"/>
        <v>61.345105497076538</v>
      </c>
      <c r="L610" s="14">
        <f t="shared" si="214"/>
        <v>172.37974644678508</v>
      </c>
    </row>
    <row r="611" spans="1:12">
      <c r="A611" s="32">
        <f t="shared" si="215"/>
        <v>5</v>
      </c>
      <c r="B611" s="13">
        <f>(VLOOKUP(E$25,'Aging Factor'!$A$145:$G$242,5,1)*(SQRT(A611+K$25-L$25)*Calibration!$B$49)-((0.32989795*(A611+K$25-L$25)-1.302)))</f>
        <v>14.967494076963666</v>
      </c>
      <c r="C611" s="13">
        <f>A611*$B$50*(VLOOKUP(E$25,'Aging Factor'!$A$145:$G$242,5,1)*(G$25/L$25/12500)*('Degradation Model'!$B$26/F$25))</f>
        <v>9.7773271930986354</v>
      </c>
      <c r="D611" s="13">
        <f>D610+(C607*100/I610)</f>
        <v>11.617431234561916</v>
      </c>
      <c r="E611" s="13">
        <f>((VLOOKUP(E$25,'Aging Factor'!$A$145:$H$242,8,1)-1)*F611*J$25/7)</f>
        <v>3.5212699858442034</v>
      </c>
      <c r="F611" s="13">
        <f t="shared" si="209"/>
        <v>26.584925311525581</v>
      </c>
      <c r="G611" s="13">
        <f t="shared" si="210"/>
        <v>30.106195297369784</v>
      </c>
      <c r="H611" s="13">
        <f t="shared" si="216"/>
        <v>4.4078101451219673</v>
      </c>
      <c r="I611" s="13">
        <f t="shared" si="211"/>
        <v>69.89380470263022</v>
      </c>
      <c r="J611" s="33">
        <f t="shared" si="212"/>
        <v>196.40159121439089</v>
      </c>
      <c r="K611" s="15">
        <f t="shared" si="213"/>
        <v>57.7059170498584</v>
      </c>
      <c r="L611" s="14">
        <f t="shared" si="214"/>
        <v>162.1536269101021</v>
      </c>
    </row>
    <row r="612" spans="1:12">
      <c r="A612" s="28">
        <f t="shared" si="215"/>
        <v>6</v>
      </c>
      <c r="B612" s="13">
        <f>(VLOOKUP(E$25,'Aging Factor'!$A$145:$G$242,5,1)*(SQRT(A612+K$25-L$25)*Calibration!$B$49)-((0.32989795*(A612+K$25-L$25)-1.302)))</f>
        <v>16.077942675746677</v>
      </c>
      <c r="C612" s="13">
        <f>A612*$B$50*(VLOOKUP(E$25,'Aging Factor'!$A$145:$G$242,5,1)*(G$25/L$25/12500)*('Degradation Model'!$B$26/F$25))</f>
        <v>11.732792631718363</v>
      </c>
      <c r="D612" s="13">
        <f>D611+(C607*100/I611)</f>
        <v>14.415197713206826</v>
      </c>
      <c r="E612" s="13">
        <f>((VLOOKUP(E$25,'Aging Factor'!$A$145:$H$242,8,1)-1)*F612*J$25/7)</f>
        <v>4.0389272780542527</v>
      </c>
      <c r="F612" s="13">
        <f t="shared" si="209"/>
        <v>30.493140388953503</v>
      </c>
      <c r="G612" s="13">
        <f t="shared" si="210"/>
        <v>34.532067667007752</v>
      </c>
      <c r="H612" s="13">
        <f t="shared" si="216"/>
        <v>4.4258723696379683</v>
      </c>
      <c r="I612" s="13">
        <f t="shared" si="211"/>
        <v>65.467932332992248</v>
      </c>
      <c r="J612" s="14">
        <f t="shared" si="212"/>
        <v>183.96488985570821</v>
      </c>
      <c r="K612" s="15">
        <f t="shared" si="213"/>
        <v>54.051816018698226</v>
      </c>
      <c r="L612" s="14">
        <f t="shared" si="214"/>
        <v>151.88560301254202</v>
      </c>
    </row>
    <row r="613" spans="1:12">
      <c r="A613" s="28">
        <f t="shared" si="215"/>
        <v>7</v>
      </c>
      <c r="B613" s="13">
        <f>(VLOOKUP(E$25,'Aging Factor'!$A$145:$G$242,5,1)*(SQRT(A613+K$25-L$25)*Calibration!$B$49)-((0.32989795*(A613+K$25-L$25)-1.302)))</f>
        <v>17.07419846711074</v>
      </c>
      <c r="C613" s="13">
        <f>A613*$B$50*(VLOOKUP(E$25,'Aging Factor'!$A$145:$G$242,5,1)*(G$25/L$25/12500)*('Degradation Model'!$B$26/F$25))</f>
        <v>13.68825807033809</v>
      </c>
      <c r="D613" s="13">
        <f>D612+(C607*100/I612)</f>
        <v>17.402103468338304</v>
      </c>
      <c r="E613" s="13">
        <f>((VLOOKUP(E$25,'Aging Factor'!$A$145:$H$242,8,1)-1)*F613*J$25/7)</f>
        <v>4.5665115025005329</v>
      </c>
      <c r="F613" s="13">
        <f t="shared" si="209"/>
        <v>34.476301935449044</v>
      </c>
      <c r="G613" s="13">
        <f t="shared" si="210"/>
        <v>39.042813437949576</v>
      </c>
      <c r="H613" s="13">
        <f t="shared" si="216"/>
        <v>4.5107457709418242</v>
      </c>
      <c r="I613" s="13">
        <f t="shared" si="211"/>
        <v>60.957186562050424</v>
      </c>
      <c r="J613" s="14">
        <f t="shared" si="212"/>
        <v>171.28969423936169</v>
      </c>
      <c r="K613" s="15">
        <f t="shared" si="213"/>
        <v>50.327641574361927</v>
      </c>
      <c r="L613" s="14">
        <f t="shared" si="214"/>
        <v>141.42067282395701</v>
      </c>
    </row>
    <row r="614" spans="1:12">
      <c r="A614" s="28">
        <f t="shared" si="215"/>
        <v>8</v>
      </c>
      <c r="B614" s="13">
        <f>(VLOOKUP(E$25,'Aging Factor'!$A$145:$G$242,5,1)*(SQRT(A614+K$25-L$25)*Calibration!$B$49)-((0.32989795*(A614+K$25-L$25)-1.302)))</f>
        <v>17.979759377875368</v>
      </c>
      <c r="C614" s="13">
        <f>A614*$B$50*(VLOOKUP(E$25,'Aging Factor'!$A$145:$G$242,5,1)*(G$25/L$25/12500)*('Degradation Model'!$B$26/F$25))</f>
        <v>15.643723508957818</v>
      </c>
      <c r="D614" s="13">
        <f>D613+(C607*100/I613)</f>
        <v>20.610036033646566</v>
      </c>
      <c r="E614" s="13">
        <f>((VLOOKUP(E$25,'Aging Factor'!$A$145:$H$242,8,1)-1)*F614*J$25/7)</f>
        <v>5.1113586647373115</v>
      </c>
      <c r="F614" s="13">
        <f t="shared" si="209"/>
        <v>38.589795411521933</v>
      </c>
      <c r="G614" s="13">
        <f t="shared" si="210"/>
        <v>43.701154076259243</v>
      </c>
      <c r="H614" s="13">
        <f t="shared" si="216"/>
        <v>4.6583406383096673</v>
      </c>
      <c r="I614" s="13">
        <f t="shared" si="211"/>
        <v>56.298845923740757</v>
      </c>
      <c r="J614" s="14">
        <f t="shared" si="212"/>
        <v>158.19975704571152</v>
      </c>
      <c r="K614" s="15">
        <f t="shared" si="213"/>
        <v>46.481609445935433</v>
      </c>
      <c r="L614" s="14">
        <f t="shared" si="214"/>
        <v>130.61332254307857</v>
      </c>
    </row>
    <row r="615" spans="1:12">
      <c r="A615" s="28">
        <f t="shared" si="215"/>
        <v>9</v>
      </c>
      <c r="B615" s="13">
        <f>(VLOOKUP(E$25,'Aging Factor'!$A$145:$G$242,5,1)*(SQRT(A615+K$25-L$25)*Calibration!$B$49)-((0.32989795*(A615+K$25-L$25)-1.302)))</f>
        <v>18.811023875760647</v>
      </c>
      <c r="C615" s="13">
        <f>A615*$B$50*(VLOOKUP(E$25,'Aging Factor'!$A$145:$G$242,5,1)*(G$25/L$25/12500)*('Degradation Model'!$B$26/F$25))</f>
        <v>17.599188947577545</v>
      </c>
      <c r="D615" s="13">
        <f>D614+(C607*100/I614)</f>
        <v>24.083402861216157</v>
      </c>
      <c r="E615" s="13">
        <f>((VLOOKUP(E$25,'Aging Factor'!$A$145:$H$242,8,1)-1)*F615*J$25/7)</f>
        <v>5.681522729854227</v>
      </c>
      <c r="F615" s="13">
        <f t="shared" si="209"/>
        <v>42.894426736976804</v>
      </c>
      <c r="G615" s="13">
        <f t="shared" si="210"/>
        <v>48.575949466831034</v>
      </c>
      <c r="H615" s="13">
        <f t="shared" si="216"/>
        <v>4.8747953905717907</v>
      </c>
      <c r="I615" s="13">
        <f t="shared" si="211"/>
        <v>51.424050533168966</v>
      </c>
      <c r="J615" s="14">
        <f t="shared" si="212"/>
        <v>144.50158199820481</v>
      </c>
      <c r="K615" s="15">
        <f t="shared" si="213"/>
        <v>42.456867344111032</v>
      </c>
      <c r="L615" s="14">
        <f t="shared" si="214"/>
        <v>119.30379723695199</v>
      </c>
    </row>
    <row r="616" spans="1:12">
      <c r="A616" s="32">
        <f t="shared" si="215"/>
        <v>10</v>
      </c>
      <c r="B616" s="13">
        <f>(VLOOKUP(E$25,'Aging Factor'!$A$145:$G$242,5,1)*(SQRT(A616+K$25-L$25)*Calibration!$B$49)-((0.32989795*(A616+K$25-L$25)-1.302)))</f>
        <v>19.579973997405933</v>
      </c>
      <c r="C616" s="13">
        <f>A616*$B$50*(VLOOKUP(E$25,'Aging Factor'!$A$145:$G$242,5,1)*(G$25/L$25/12500)*('Degradation Model'!$B$26/F$25))</f>
        <v>19.554654386197271</v>
      </c>
      <c r="D616" s="13">
        <f>D615+(C607*100/I615)</f>
        <v>27.886031044615351</v>
      </c>
      <c r="E616" s="13">
        <f>((VLOOKUP(E$25,'Aging Factor'!$A$145:$H$242,8,1)-1)*F616*J$25/7)</f>
        <v>6.2870448926910214</v>
      </c>
      <c r="F616" s="13">
        <f t="shared" si="209"/>
        <v>47.46600504202128</v>
      </c>
      <c r="G616" s="13">
        <f t="shared" si="210"/>
        <v>53.753049934712301</v>
      </c>
      <c r="H616" s="13">
        <f t="shared" si="216"/>
        <v>5.1771004678812673</v>
      </c>
      <c r="I616" s="13">
        <f t="shared" si="211"/>
        <v>46.246950065287699</v>
      </c>
      <c r="J616" s="33">
        <f t="shared" si="212"/>
        <v>129.95392968345843</v>
      </c>
      <c r="K616" s="15">
        <f t="shared" si="213"/>
        <v>38.182535285219743</v>
      </c>
      <c r="L616" s="14">
        <f t="shared" si="214"/>
        <v>107.29292415146747</v>
      </c>
    </row>
    <row r="617" spans="1:12">
      <c r="A617" s="28">
        <f t="shared" si="215"/>
        <v>11</v>
      </c>
      <c r="B617" s="13">
        <f>(VLOOKUP(E$25,'Aging Factor'!$A$145:$G$242,5,1)*(SQRT(A617+K$25-L$25)*Calibration!$B$49)-((0.32989795*(A617+K$25-L$25)-1.302)))</f>
        <v>20.295680374451774</v>
      </c>
      <c r="C617" s="13">
        <f>A617*$B$50*(VLOOKUP(E$25,'Aging Factor'!$A$145:$G$242,5,1)*(G$25/L$25/12500)*('Degradation Model'!$B$26/F$25))</f>
        <v>21.510119824817</v>
      </c>
      <c r="D617" s="13">
        <f>D616+(C607*100/I616)</f>
        <v>32.114343259494731</v>
      </c>
      <c r="E617" s="13">
        <f>((VLOOKUP(E$25,'Aging Factor'!$A$145:$H$242,8,1)-1)*F617*J$25/7)</f>
        <v>6.9418981252353484</v>
      </c>
      <c r="F617" s="13">
        <f t="shared" si="209"/>
        <v>52.410023633946508</v>
      </c>
      <c r="G617" s="13">
        <f t="shared" si="210"/>
        <v>59.351921759181856</v>
      </c>
      <c r="H617" s="13">
        <f t="shared" si="216"/>
        <v>5.5988718244695548</v>
      </c>
      <c r="I617" s="13">
        <f t="shared" si="211"/>
        <v>40.648078240818144</v>
      </c>
      <c r="J617" s="14">
        <f t="shared" si="212"/>
        <v>114.22109985669898</v>
      </c>
      <c r="K617" s="15">
        <f t="shared" si="213"/>
        <v>33.559979188148787</v>
      </c>
      <c r="L617" s="14">
        <f t="shared" si="214"/>
        <v>94.303541518698097</v>
      </c>
    </row>
    <row r="618" spans="1:12">
      <c r="A618" s="28">
        <f t="shared" si="215"/>
        <v>12</v>
      </c>
      <c r="B618" s="13">
        <f>(VLOOKUP(E$25,'Aging Factor'!$A$145:$G$242,5,1)*(SQRT(A618+K$25-L$25)*Calibration!$B$49)-((0.32989795*(A618+K$25-L$25)-1.302)))</f>
        <v>20.96520576494083</v>
      </c>
      <c r="C618" s="13">
        <f>A618*$B$50*(VLOOKUP(E$25,'Aging Factor'!$A$145:$G$242,5,1)*(G$25/L$25/12500)*('Degradation Model'!$B$26/F$25))</f>
        <v>23.465585263436726</v>
      </c>
      <c r="D618" s="13">
        <f>D617+(C607*100/I617)</f>
        <v>36.925063773843874</v>
      </c>
      <c r="E618" s="13">
        <f>((VLOOKUP(E$25,'Aging Factor'!$A$145:$H$242,8,1)-1)*F618*J$25/7)</f>
        <v>7.6677766144025226</v>
      </c>
      <c r="F618" s="13">
        <f t="shared" si="209"/>
        <v>57.890269538784707</v>
      </c>
      <c r="G618" s="13">
        <f t="shared" si="210"/>
        <v>65.558046153187234</v>
      </c>
      <c r="H618" s="13">
        <f t="shared" si="216"/>
        <v>6.2061243940053785</v>
      </c>
      <c r="I618" s="13">
        <f t="shared" si="211"/>
        <v>34.441953846812766</v>
      </c>
      <c r="J618" s="14">
        <f t="shared" si="212"/>
        <v>96.781890309543869</v>
      </c>
      <c r="K618" s="15">
        <f t="shared" si="213"/>
        <v>28.436061539005557</v>
      </c>
      <c r="L618" s="14">
        <f t="shared" si="214"/>
        <v>79.905332924605617</v>
      </c>
    </row>
    <row r="619" spans="1:12">
      <c r="A619" s="28">
        <f t="shared" si="215"/>
        <v>13</v>
      </c>
      <c r="B619" s="13">
        <f>(VLOOKUP(E$25,'Aging Factor'!$A$145:$G$242,5,1)*(SQRT(A619+K$25-L$25)*Calibration!$B$49)-((0.32989795*(A619+K$25-L$25)-1.302)))</f>
        <v>21.594177156926818</v>
      </c>
      <c r="C619" s="13">
        <f>A619*$B$50*(VLOOKUP(E$25,'Aging Factor'!$A$145:$G$242,5,1)*(G$25/L$25/12500)*('Degradation Model'!$B$26/F$25))</f>
        <v>25.421050702056455</v>
      </c>
      <c r="D619" s="13">
        <f>D618+(C607*100/I618)</f>
        <v>42.602632030618842</v>
      </c>
      <c r="E619" s="13">
        <f>((VLOOKUP(E$25,'Aging Factor'!$A$145:$H$242,8,1)-1)*F619*J$25/7)</f>
        <v>8.503100713285388</v>
      </c>
      <c r="F619" s="13">
        <f t="shared" si="209"/>
        <v>64.196809187545654</v>
      </c>
      <c r="G619" s="13">
        <f t="shared" si="210"/>
        <v>72.699909900831045</v>
      </c>
      <c r="H619" s="13">
        <f t="shared" si="216"/>
        <v>7.1418637476438107</v>
      </c>
      <c r="I619" s="13">
        <f t="shared" si="211"/>
        <v>27.300090099168955</v>
      </c>
      <c r="J619" s="14">
        <f t="shared" si="212"/>
        <v>76.713253178664758</v>
      </c>
      <c r="K619" s="15">
        <f t="shared" si="213"/>
        <v>22.539576167285404</v>
      </c>
      <c r="L619" s="14">
        <f t="shared" si="214"/>
        <v>63.336209030071977</v>
      </c>
    </row>
    <row r="620" spans="1:12">
      <c r="A620" s="28">
        <f t="shared" si="215"/>
        <v>14</v>
      </c>
      <c r="B620" s="13">
        <f>(VLOOKUP(E$25,'Aging Factor'!$A$145:$G$242,5,1)*(SQRT(A620+K$25-L$25)*Calibration!$B$49)-((0.32989795*(A620+K$25-L$25)-1.302)))</f>
        <v>22.187163929678949</v>
      </c>
      <c r="C620" s="13">
        <f>A620*$B$50*(VLOOKUP(E$25,'Aging Factor'!$A$145:$G$242,5,1)*(G$25/L$25/12500)*('Degradation Model'!$B$26/F$25))</f>
        <v>27.376516140676181</v>
      </c>
      <c r="D620" s="13">
        <f>D619+(C607*100/I619)</f>
        <v>49.765485455337952</v>
      </c>
      <c r="E620" s="13">
        <f>((VLOOKUP(E$25,'Aging Factor'!$A$145:$H$242,8,1)-1)*F620*J$25/7)</f>
        <v>9.5303899376233385</v>
      </c>
      <c r="F620" s="13">
        <f t="shared" si="209"/>
        <v>71.952649385016898</v>
      </c>
      <c r="G620" s="13">
        <f t="shared" si="210"/>
        <v>81.483039322640238</v>
      </c>
      <c r="H620" s="13">
        <f t="shared" si="216"/>
        <v>8.7831294218091926</v>
      </c>
      <c r="I620" s="13">
        <f t="shared" si="211"/>
        <v>18.516960677359762</v>
      </c>
      <c r="J620" s="14">
        <f t="shared" si="212"/>
        <v>52.032659503380927</v>
      </c>
      <c r="K620" s="15">
        <f t="shared" si="213"/>
        <v>15.288024473834398</v>
      </c>
      <c r="L620" s="14">
        <f t="shared" si="214"/>
        <v>42.959348771474652</v>
      </c>
    </row>
    <row r="621" spans="1:12">
      <c r="A621" s="28">
        <f t="shared" si="215"/>
        <v>15</v>
      </c>
      <c r="B621" s="13">
        <f>(VLOOKUP(E$25,'Aging Factor'!$A$145:$G$242,5,1)*(SQRT(A621+K$25-L$25)*Calibration!$B$49)-((0.32989795*(A621+K$25-L$25)-1.302)))</f>
        <v>22.747936844885054</v>
      </c>
      <c r="C621" s="13">
        <f>A621*$B$50*(VLOOKUP(E$25,'Aging Factor'!$A$145:$G$242,5,1)*(G$25/L$25/12500)*('Degradation Model'!$B$26/F$25))</f>
        <v>29.33198157929591</v>
      </c>
      <c r="D621" s="13">
        <f>D620+(C607*100/I620)</f>
        <v>60.325887201023072</v>
      </c>
      <c r="E621" s="13">
        <f>((VLOOKUP(E$25,'Aging Factor'!$A$145:$H$242,8,1)-1)*F621*J$25/7)</f>
        <v>11.003429943635684</v>
      </c>
      <c r="F621" s="13">
        <f t="shared" si="209"/>
        <v>83.073824045908125</v>
      </c>
      <c r="G621" s="13">
        <f t="shared" si="210"/>
        <v>94.077253989543806</v>
      </c>
      <c r="H621" s="13">
        <f t="shared" si="216"/>
        <v>12.594214666903568</v>
      </c>
      <c r="I621" s="13">
        <f t="shared" si="211"/>
        <v>5.9227460104561942</v>
      </c>
      <c r="J621" s="14">
        <f t="shared" si="212"/>
        <v>16.642916289381905</v>
      </c>
      <c r="K621" s="15">
        <f t="shared" si="213"/>
        <v>4.8899540015154344</v>
      </c>
      <c r="L621" s="14">
        <f t="shared" si="214"/>
        <v>13.74077074425837</v>
      </c>
    </row>
    <row r="624" spans="1:12">
      <c r="A624" s="7" t="s">
        <v>112</v>
      </c>
    </row>
    <row r="626" spans="1:12">
      <c r="A626" s="29"/>
      <c r="B626" s="29" t="s">
        <v>54</v>
      </c>
      <c r="C626" s="29" t="s">
        <v>54</v>
      </c>
      <c r="D626" s="29" t="s">
        <v>2</v>
      </c>
      <c r="E626" s="29" t="s">
        <v>3</v>
      </c>
      <c r="F626" s="29" t="s">
        <v>4</v>
      </c>
      <c r="G626" s="29" t="s">
        <v>54</v>
      </c>
      <c r="H626" s="29" t="s">
        <v>55</v>
      </c>
      <c r="I626" s="29" t="s">
        <v>6</v>
      </c>
      <c r="J626" s="29" t="s">
        <v>7</v>
      </c>
      <c r="K626" s="29" t="s">
        <v>8</v>
      </c>
      <c r="L626" s="29" t="s">
        <v>8</v>
      </c>
    </row>
    <row r="627" spans="1:12">
      <c r="A627" s="29" t="s">
        <v>56</v>
      </c>
      <c r="B627" s="29" t="s">
        <v>9</v>
      </c>
      <c r="C627" s="29" t="s">
        <v>10</v>
      </c>
      <c r="D627" s="29" t="s">
        <v>10</v>
      </c>
      <c r="E627" s="29" t="s">
        <v>11</v>
      </c>
      <c r="F627" s="29" t="s">
        <v>10</v>
      </c>
      <c r="G627" s="29" t="s">
        <v>12</v>
      </c>
      <c r="H627" s="29" t="s">
        <v>57</v>
      </c>
      <c r="I627" s="29" t="s">
        <v>52</v>
      </c>
      <c r="J627" s="29" t="s">
        <v>14</v>
      </c>
      <c r="K627" s="29" t="s">
        <v>15</v>
      </c>
      <c r="L627" s="29" t="s">
        <v>14</v>
      </c>
    </row>
    <row r="628" spans="1:12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</row>
    <row r="629" spans="1:12">
      <c r="A629" s="32">
        <v>1</v>
      </c>
      <c r="B629" s="13">
        <f>(VLOOKUP(E$26,'Aging Factor'!$A$145:$G$242,5,1)*(SQRT(A629+K$26-L$26)*Calibration!$B$49)-((0.32989795*(A629+K$26-L$26)-1.302)))</f>
        <v>11.808260982800189</v>
      </c>
      <c r="C629" s="13">
        <f>A629*$B$50*(VLOOKUP(E$26,'Aging Factor'!$A$145:$G$242,5,1)*(G$26/L$26/12500)*('Degradation Model'!$B$26/F$26))</f>
        <v>1.216324909784555</v>
      </c>
      <c r="D629" s="13">
        <f>C629</f>
        <v>1.216324909784555</v>
      </c>
      <c r="E629" s="13">
        <f>((VLOOKUP(E$26,'Aging Factor'!$A$145:$H$242,8,1)-1)*F629*J$26/7)</f>
        <v>0.64031624338070003</v>
      </c>
      <c r="F629" s="13">
        <f t="shared" ref="F629:F643" si="217">B629+D629</f>
        <v>13.024585892584744</v>
      </c>
      <c r="G629" s="13">
        <f t="shared" ref="G629:G643" si="218">F629+E629</f>
        <v>13.664902135965445</v>
      </c>
      <c r="H629" s="13">
        <f>G629</f>
        <v>13.664902135965445</v>
      </c>
      <c r="I629" s="13">
        <f t="shared" ref="I629:I643" si="219">IF(100-G629&lt;=5,5,100-G629)</f>
        <v>86.335097864034552</v>
      </c>
      <c r="J629" s="33">
        <f t="shared" ref="J629:J643" si="220">IF(281*I629/100&gt;0,281*I629/100,0)</f>
        <v>242.60162499793711</v>
      </c>
      <c r="K629" s="15">
        <f t="shared" ref="K629:K643" si="221">IF(L629/281*100&gt;0,L629/281*100,0)</f>
        <v>71.280223147530307</v>
      </c>
      <c r="L629" s="14">
        <f t="shared" ref="L629:L643" si="222">IF(I629*232/100&gt;0,I629*232/100,0)</f>
        <v>200.29742704456018</v>
      </c>
    </row>
    <row r="630" spans="1:12">
      <c r="A630" s="28">
        <f t="shared" ref="A630:A643" si="223">A629+1</f>
        <v>2</v>
      </c>
      <c r="B630" s="13">
        <f>(VLOOKUP(E$26,'Aging Factor'!$A$145:$G$242,5,1)*(SQRT(A630+K$26-L$26)*Calibration!$B$49)-((0.32989795*(A630+K$26-L$26)-1.302)))</f>
        <v>14.177317248874749</v>
      </c>
      <c r="C630" s="13">
        <f>A630*$B$50*(VLOOKUP(E$26,'Aging Factor'!$A$145:$G$242,5,1)*(G$26/L$26/12500)*('Degradation Model'!$B$26/F$26))</f>
        <v>2.43264981956911</v>
      </c>
      <c r="D630" s="13">
        <f>D629+(C629*100/I629)</f>
        <v>2.6251666669342288</v>
      </c>
      <c r="E630" s="13">
        <f>((VLOOKUP(E$26,'Aging Factor'!$A$145:$H$242,8,1)-1)*F630*J$26/7)</f>
        <v>0.82604571609150201</v>
      </c>
      <c r="F630" s="13">
        <f t="shared" si="217"/>
        <v>16.802483915808978</v>
      </c>
      <c r="G630" s="13">
        <f t="shared" si="218"/>
        <v>17.628529631900481</v>
      </c>
      <c r="H630" s="13">
        <f t="shared" ref="H630:H643" si="224">G630-G629</f>
        <v>3.9636274959350359</v>
      </c>
      <c r="I630" s="13">
        <f t="shared" si="219"/>
        <v>82.371470368099523</v>
      </c>
      <c r="J630" s="14">
        <f t="shared" si="220"/>
        <v>231.46383173435967</v>
      </c>
      <c r="K630" s="15">
        <f t="shared" si="221"/>
        <v>68.007762012096407</v>
      </c>
      <c r="L630" s="14">
        <f t="shared" si="222"/>
        <v>191.10181125399089</v>
      </c>
    </row>
    <row r="631" spans="1:12">
      <c r="A631" s="28">
        <f t="shared" si="223"/>
        <v>3</v>
      </c>
      <c r="B631" s="13">
        <f>(VLOOKUP(E$26,'Aging Factor'!$A$145:$G$242,5,1)*(SQRT(A631+K$26-L$26)*Calibration!$B$49)-((0.32989795*(A631+K$26-L$26)-1.302)))</f>
        <v>16.099099176689123</v>
      </c>
      <c r="C631" s="13">
        <f>A631*$B$50*(VLOOKUP(E$26,'Aging Factor'!$A$145:$G$242,5,1)*(G$26/L$26/12500)*('Degradation Model'!$B$26/F$26))</f>
        <v>3.648974729353665</v>
      </c>
      <c r="D631" s="13">
        <f>D630+(C629*100/I630)</f>
        <v>4.1018003901749012</v>
      </c>
      <c r="E631" s="13">
        <f>((VLOOKUP(E$26,'Aging Factor'!$A$145:$H$242,8,1)-1)*F631*J$26/7)</f>
        <v>0.99311903121076683</v>
      </c>
      <c r="F631" s="13">
        <f t="shared" si="217"/>
        <v>20.200899566864024</v>
      </c>
      <c r="G631" s="13">
        <f t="shared" si="218"/>
        <v>21.194018598074791</v>
      </c>
      <c r="H631" s="13">
        <f t="shared" si="224"/>
        <v>3.5654889661743105</v>
      </c>
      <c r="I631" s="13">
        <f t="shared" si="219"/>
        <v>78.805981401925209</v>
      </c>
      <c r="J631" s="14">
        <f t="shared" si="220"/>
        <v>221.44480773940984</v>
      </c>
      <c r="K631" s="15">
        <f t="shared" si="221"/>
        <v>65.064013114756747</v>
      </c>
      <c r="L631" s="14">
        <f t="shared" si="222"/>
        <v>182.82987685246647</v>
      </c>
    </row>
    <row r="632" spans="1:12">
      <c r="A632" s="28">
        <f t="shared" si="223"/>
        <v>4</v>
      </c>
      <c r="B632" s="13">
        <f>(VLOOKUP(E$26,'Aging Factor'!$A$145:$G$242,5,1)*(SQRT(A632+K$26-L$26)*Calibration!$B$49)-((0.32989795*(A632+K$26-L$26)-1.302)))</f>
        <v>17.741917842856441</v>
      </c>
      <c r="C632" s="13">
        <f>A632*$B$50*(VLOOKUP(E$26,'Aging Factor'!$A$145:$G$242,5,1)*(G$26/L$26/12500)*('Degradation Model'!$B$26/F$26))</f>
        <v>4.8652996391382199</v>
      </c>
      <c r="D632" s="13">
        <f>D631+(C629*100/I631)</f>
        <v>5.6452427636428126</v>
      </c>
      <c r="E632" s="13">
        <f>((VLOOKUP(E$26,'Aging Factor'!$A$145:$H$242,8,1)-1)*F632*J$26/7)</f>
        <v>1.1497623760476314</v>
      </c>
      <c r="F632" s="13">
        <f t="shared" si="217"/>
        <v>23.387160606499254</v>
      </c>
      <c r="G632" s="13">
        <f t="shared" si="218"/>
        <v>24.536922982546887</v>
      </c>
      <c r="H632" s="13">
        <f t="shared" si="224"/>
        <v>3.3429043844720958</v>
      </c>
      <c r="I632" s="13">
        <f t="shared" si="219"/>
        <v>75.463077017453116</v>
      </c>
      <c r="J632" s="14">
        <f t="shared" si="220"/>
        <v>212.05124641904328</v>
      </c>
      <c r="K632" s="15">
        <f t="shared" si="221"/>
        <v>62.304035117612536</v>
      </c>
      <c r="L632" s="14">
        <f t="shared" si="222"/>
        <v>175.07433868049122</v>
      </c>
    </row>
    <row r="633" spans="1:12">
      <c r="A633" s="32">
        <f t="shared" si="223"/>
        <v>5</v>
      </c>
      <c r="B633" s="13">
        <f>(VLOOKUP(E$26,'Aging Factor'!$A$145:$G$242,5,1)*(SQRT(A633+K$26-L$26)*Calibration!$B$49)-((0.32989795*(A633+K$26-L$26)-1.302)))</f>
        <v>19.189278017555392</v>
      </c>
      <c r="C633" s="13">
        <f>A633*$B$50*(VLOOKUP(E$26,'Aging Factor'!$A$145:$G$242,5,1)*(G$26/L$26/12500)*('Degradation Model'!$B$26/F$26))</f>
        <v>6.0816245489227754</v>
      </c>
      <c r="D633" s="13">
        <f>D632+(C629*100/I632)</f>
        <v>7.2570573859159584</v>
      </c>
      <c r="E633" s="13">
        <f>((VLOOKUP(E$26,'Aging Factor'!$A$145:$H$242,8,1)-1)*F633*J$26/7)</f>
        <v>1.3001578918818286</v>
      </c>
      <c r="F633" s="13">
        <f t="shared" si="217"/>
        <v>26.446335403471352</v>
      </c>
      <c r="G633" s="13">
        <f t="shared" si="218"/>
        <v>27.746493295353179</v>
      </c>
      <c r="H633" s="13">
        <f t="shared" si="224"/>
        <v>3.2095703128062922</v>
      </c>
      <c r="I633" s="13">
        <f t="shared" si="219"/>
        <v>72.253506704646824</v>
      </c>
      <c r="J633" s="33">
        <f t="shared" si="220"/>
        <v>203.0323538400576</v>
      </c>
      <c r="K633" s="15">
        <f t="shared" si="221"/>
        <v>59.654140766825847</v>
      </c>
      <c r="L633" s="14">
        <f t="shared" si="222"/>
        <v>167.62813555478064</v>
      </c>
    </row>
    <row r="634" spans="1:12">
      <c r="A634" s="28">
        <f t="shared" si="223"/>
        <v>6</v>
      </c>
      <c r="B634" s="13">
        <f>(VLOOKUP(E$26,'Aging Factor'!$A$145:$G$242,5,1)*(SQRT(A634+K$26-L$26)*Calibration!$B$49)-((0.32989795*(A634+K$26-L$26)-1.302)))</f>
        <v>20.48983565172</v>
      </c>
      <c r="C634" s="13">
        <f>A634*$B$50*(VLOOKUP(E$26,'Aging Factor'!$A$145:$G$242,5,1)*(G$26/L$26/12500)*('Degradation Model'!$B$26/F$26))</f>
        <v>7.2979494587073299</v>
      </c>
      <c r="D634" s="13">
        <f>D633+(C629*100/I633)</f>
        <v>8.9404703651040389</v>
      </c>
      <c r="E634" s="13">
        <f>((VLOOKUP(E$26,'Aging Factor'!$A$145:$H$242,8,1)-1)*F634*J$26/7)</f>
        <v>1.4468562106812157</v>
      </c>
      <c r="F634" s="13">
        <f t="shared" si="217"/>
        <v>29.430306016824041</v>
      </c>
      <c r="G634" s="13">
        <f t="shared" si="218"/>
        <v>30.877162227505256</v>
      </c>
      <c r="H634" s="13">
        <f t="shared" si="224"/>
        <v>3.1306689321520764</v>
      </c>
      <c r="I634" s="13">
        <f t="shared" si="219"/>
        <v>69.122837772494748</v>
      </c>
      <c r="J634" s="14">
        <f t="shared" si="220"/>
        <v>194.23517414071023</v>
      </c>
      <c r="K634" s="15">
        <f t="shared" si="221"/>
        <v>57.069389192949394</v>
      </c>
      <c r="L634" s="14">
        <f t="shared" si="222"/>
        <v>160.3649836321878</v>
      </c>
    </row>
    <row r="635" spans="1:12">
      <c r="A635" s="28">
        <f t="shared" si="223"/>
        <v>7</v>
      </c>
      <c r="B635" s="13">
        <f>(VLOOKUP(E$26,'Aging Factor'!$A$145:$G$242,5,1)*(SQRT(A635+K$26-L$26)*Calibration!$B$49)-((0.32989795*(A635+K$26-L$26)-1.302)))</f>
        <v>21.674889629247279</v>
      </c>
      <c r="C635" s="13">
        <f>A635*$B$50*(VLOOKUP(E$26,'Aging Factor'!$A$145:$G$242,5,1)*(G$26/L$26/12500)*('Degradation Model'!$B$26/F$26))</f>
        <v>8.5142743684918845</v>
      </c>
      <c r="D635" s="13">
        <f>D634+(C629*100/I634)</f>
        <v>10.700127446585368</v>
      </c>
      <c r="E635" s="13">
        <f>((VLOOKUP(E$26,'Aging Factor'!$A$145:$H$242,8,1)-1)*F635*J$26/7)</f>
        <v>1.591624446592615</v>
      </c>
      <c r="F635" s="13">
        <f t="shared" si="217"/>
        <v>32.375017075832645</v>
      </c>
      <c r="G635" s="13">
        <f t="shared" si="218"/>
        <v>33.966641522425263</v>
      </c>
      <c r="H635" s="13">
        <f t="shared" si="224"/>
        <v>3.0894792949200074</v>
      </c>
      <c r="I635" s="13">
        <f t="shared" si="219"/>
        <v>66.033358477574737</v>
      </c>
      <c r="J635" s="14">
        <f t="shared" si="220"/>
        <v>185.55373732198504</v>
      </c>
      <c r="K635" s="15">
        <f t="shared" si="221"/>
        <v>54.51864472169872</v>
      </c>
      <c r="L635" s="14">
        <f t="shared" si="222"/>
        <v>153.19739166797339</v>
      </c>
    </row>
    <row r="636" spans="1:12">
      <c r="A636" s="28">
        <f t="shared" si="223"/>
        <v>8</v>
      </c>
      <c r="B636" s="13">
        <f>(VLOOKUP(E$26,'Aging Factor'!$A$145:$G$242,5,1)*(SQRT(A636+K$26-L$26)*Calibration!$B$49)-((0.32989795*(A636+K$26-L$26)-1.302)))</f>
        <v>22.765982387200435</v>
      </c>
      <c r="C636" s="13">
        <f>A636*$B$50*(VLOOKUP(E$26,'Aging Factor'!$A$145:$G$242,5,1)*(G$26/L$26/12500)*('Degradation Model'!$B$26/F$26))</f>
        <v>9.7305992782764399</v>
      </c>
      <c r="D636" s="13">
        <f>D635+(C629*100/I635)</f>
        <v>12.542112979091071</v>
      </c>
      <c r="E636" s="13">
        <f>((VLOOKUP(E$26,'Aging Factor'!$A$145:$H$242,8,1)-1)*F636*J$26/7)</f>
        <v>1.7358207909506616</v>
      </c>
      <c r="F636" s="13">
        <f t="shared" si="217"/>
        <v>35.308095366291504</v>
      </c>
      <c r="G636" s="13">
        <f t="shared" si="218"/>
        <v>37.043916157242165</v>
      </c>
      <c r="H636" s="13">
        <f t="shared" si="224"/>
        <v>3.0772746348169022</v>
      </c>
      <c r="I636" s="13">
        <f t="shared" si="219"/>
        <v>62.956083842757835</v>
      </c>
      <c r="J636" s="14">
        <f t="shared" si="220"/>
        <v>176.90659559814949</v>
      </c>
      <c r="K636" s="15">
        <f t="shared" si="221"/>
        <v>51.977976695800066</v>
      </c>
      <c r="L636" s="14">
        <f t="shared" si="222"/>
        <v>146.05811451519818</v>
      </c>
    </row>
    <row r="637" spans="1:12">
      <c r="A637" s="28">
        <f t="shared" si="223"/>
        <v>9</v>
      </c>
      <c r="B637" s="13">
        <f>(VLOOKUP(E$26,'Aging Factor'!$A$145:$G$242,5,1)*(SQRT(A637+K$26-L$26)*Calibration!$B$49)-((0.32989795*(A637+K$26-L$26)-1.302)))</f>
        <v>23.778691411578993</v>
      </c>
      <c r="C637" s="13">
        <f>A637*$B$50*(VLOOKUP(E$26,'Aging Factor'!$A$145:$G$242,5,1)*(G$26/L$26/12500)*('Degradation Model'!$B$26/F$26))</f>
        <v>10.946924188060995</v>
      </c>
      <c r="D637" s="13">
        <f>D636+(C629*100/I636)</f>
        <v>14.474134216025863</v>
      </c>
      <c r="E637" s="13">
        <f>((VLOOKUP(E$26,'Aging Factor'!$A$145:$H$242,8,1)-1)*F637*J$26/7)</f>
        <v>1.8805899708880547</v>
      </c>
      <c r="F637" s="13">
        <f t="shared" si="217"/>
        <v>38.252825627604857</v>
      </c>
      <c r="G637" s="13">
        <f t="shared" si="218"/>
        <v>40.13341559849291</v>
      </c>
      <c r="H637" s="13">
        <f t="shared" si="224"/>
        <v>3.0894994412507444</v>
      </c>
      <c r="I637" s="13">
        <f t="shared" si="219"/>
        <v>59.86658440150709</v>
      </c>
      <c r="J637" s="14">
        <f t="shared" si="220"/>
        <v>168.22510216823491</v>
      </c>
      <c r="K637" s="15">
        <f t="shared" si="221"/>
        <v>49.427215591279875</v>
      </c>
      <c r="L637" s="14">
        <f t="shared" si="222"/>
        <v>138.89047581149646</v>
      </c>
    </row>
    <row r="638" spans="1:12">
      <c r="A638" s="32">
        <f t="shared" si="223"/>
        <v>10</v>
      </c>
      <c r="B638" s="13">
        <f>(VLOOKUP(E$26,'Aging Factor'!$A$145:$G$242,5,1)*(SQRT(A638+K$26-L$26)*Calibration!$B$49)-((0.32989795*(A638+K$26-L$26)-1.302)))</f>
        <v>24.724713551119692</v>
      </c>
      <c r="C638" s="13">
        <f>A638*$B$50*(VLOOKUP(E$26,'Aging Factor'!$A$145:$G$242,5,1)*(G$26/L$26/12500)*('Degradation Model'!$B$26/F$26))</f>
        <v>12.163249097845551</v>
      </c>
      <c r="D638" s="13">
        <f>D637+(C629*100/I637)</f>
        <v>16.505860131149117</v>
      </c>
      <c r="E638" s="13">
        <f>((VLOOKUP(E$26,'Aging Factor'!$A$145:$H$242,8,1)-1)*F638*J$26/7)</f>
        <v>2.02698237551584</v>
      </c>
      <c r="F638" s="13">
        <f t="shared" si="217"/>
        <v>41.230573682268812</v>
      </c>
      <c r="G638" s="13">
        <f t="shared" si="218"/>
        <v>43.257556057784655</v>
      </c>
      <c r="H638" s="13">
        <f t="shared" si="224"/>
        <v>3.1241404592917448</v>
      </c>
      <c r="I638" s="13">
        <f t="shared" si="219"/>
        <v>56.742443942215345</v>
      </c>
      <c r="J638" s="33">
        <f t="shared" si="220"/>
        <v>159.44626747762513</v>
      </c>
      <c r="K638" s="15">
        <f t="shared" si="221"/>
        <v>46.847854073288111</v>
      </c>
      <c r="L638" s="14">
        <f t="shared" si="222"/>
        <v>131.64246994593958</v>
      </c>
    </row>
    <row r="639" spans="1:12">
      <c r="A639" s="28">
        <f t="shared" si="223"/>
        <v>11</v>
      </c>
      <c r="B639" s="13">
        <f>(VLOOKUP(E$26,'Aging Factor'!$A$145:$G$242,5,1)*(SQRT(A639+K$26-L$26)*Calibration!$B$49)-((0.32989795*(A639+K$26-L$26)-1.302)))</f>
        <v>25.613097061315013</v>
      </c>
      <c r="C639" s="13">
        <f>A639*$B$50*(VLOOKUP(E$26,'Aging Factor'!$A$145:$G$242,5,1)*(G$26/L$26/12500)*('Degradation Model'!$B$26/F$26))</f>
        <v>13.379574007630104</v>
      </c>
      <c r="D639" s="13">
        <f>D638+(C629*100/I638)</f>
        <v>18.649449348108508</v>
      </c>
      <c r="E639" s="13">
        <f>((VLOOKUP(E$26,'Aging Factor'!$A$145:$H$242,8,1)-1)*F639*J$26/7)</f>
        <v>2.1760405799528613</v>
      </c>
      <c r="F639" s="13">
        <f t="shared" si="217"/>
        <v>44.262546409423521</v>
      </c>
      <c r="G639" s="13">
        <f t="shared" si="218"/>
        <v>46.438586989376383</v>
      </c>
      <c r="H639" s="13">
        <f t="shared" si="224"/>
        <v>3.181030931591728</v>
      </c>
      <c r="I639" s="13">
        <f t="shared" si="219"/>
        <v>53.561413010623617</v>
      </c>
      <c r="J639" s="14">
        <f t="shared" si="220"/>
        <v>150.50757055985235</v>
      </c>
      <c r="K639" s="15">
        <f t="shared" si="221"/>
        <v>44.221522485639433</v>
      </c>
      <c r="L639" s="14">
        <f t="shared" si="222"/>
        <v>124.2624781846468</v>
      </c>
    </row>
    <row r="640" spans="1:12">
      <c r="A640" s="28">
        <f t="shared" si="223"/>
        <v>12</v>
      </c>
      <c r="B640" s="13">
        <f>(VLOOKUP(E$26,'Aging Factor'!$A$145:$G$242,5,1)*(SQRT(A640+K$26-L$26)*Calibration!$B$49)-((0.32989795*(A640+K$26-L$26)-1.302)))</f>
        <v>26.451012165050205</v>
      </c>
      <c r="C640" s="13">
        <f>A640*$B$50*(VLOOKUP(E$26,'Aging Factor'!$A$145:$G$242,5,1)*(G$26/L$26/12500)*('Degradation Model'!$B$26/F$26))</f>
        <v>14.59589891741466</v>
      </c>
      <c r="D640" s="13">
        <f>D639+(C629*100/I639)</f>
        <v>20.920347073572366</v>
      </c>
      <c r="E640" s="13">
        <f>((VLOOKUP(E$26,'Aging Factor'!$A$145:$H$242,8,1)-1)*F640*J$26/7)</f>
        <v>2.3288764066412</v>
      </c>
      <c r="F640" s="13">
        <f t="shared" si="217"/>
        <v>47.371359238622574</v>
      </c>
      <c r="G640" s="13">
        <f t="shared" si="218"/>
        <v>49.700235645263774</v>
      </c>
      <c r="H640" s="13">
        <f t="shared" si="224"/>
        <v>3.2616486558873916</v>
      </c>
      <c r="I640" s="13">
        <f t="shared" si="219"/>
        <v>50.299764354736226</v>
      </c>
      <c r="J640" s="14">
        <f t="shared" si="220"/>
        <v>141.34233783680881</v>
      </c>
      <c r="K640" s="15">
        <f t="shared" si="221"/>
        <v>41.528631068679019</v>
      </c>
      <c r="L640" s="14">
        <f t="shared" si="222"/>
        <v>116.69545330298804</v>
      </c>
    </row>
    <row r="641" spans="1:12">
      <c r="A641" s="28">
        <f t="shared" si="223"/>
        <v>13</v>
      </c>
      <c r="B641" s="13">
        <f>(VLOOKUP(E$26,'Aging Factor'!$A$145:$G$242,5,1)*(SQRT(A641+K$26-L$26)*Calibration!$B$49)-((0.32989795*(A641+K$26-L$26)-1.302)))</f>
        <v>27.244255306684511</v>
      </c>
      <c r="C641" s="13">
        <f>A641*$B$50*(VLOOKUP(E$26,'Aging Factor'!$A$145:$G$242,5,1)*(G$26/L$26/12500)*('Degradation Model'!$B$26/F$26))</f>
        <v>15.812223827199215</v>
      </c>
      <c r="D641" s="13">
        <f>D640+(C629*100/I640)</f>
        <v>23.338499375850549</v>
      </c>
      <c r="E641" s="13">
        <f>((VLOOKUP(E$26,'Aging Factor'!$A$145:$H$242,8,1)-1)*F641*J$26/7)</f>
        <v>2.4867554120556181</v>
      </c>
      <c r="F641" s="13">
        <f t="shared" si="217"/>
        <v>50.582754682535061</v>
      </c>
      <c r="G641" s="13">
        <f t="shared" si="218"/>
        <v>53.069510094590676</v>
      </c>
      <c r="H641" s="13">
        <f t="shared" si="224"/>
        <v>3.3692744493269018</v>
      </c>
      <c r="I641" s="13">
        <f t="shared" si="219"/>
        <v>46.930489905409324</v>
      </c>
      <c r="J641" s="14">
        <f t="shared" si="220"/>
        <v>131.8746766342002</v>
      </c>
      <c r="K641" s="15">
        <f t="shared" si="221"/>
        <v>38.74688134539133</v>
      </c>
      <c r="L641" s="14">
        <f t="shared" si="222"/>
        <v>108.87873658054963</v>
      </c>
    </row>
    <row r="642" spans="1:12">
      <c r="A642" s="28">
        <f t="shared" si="223"/>
        <v>14</v>
      </c>
      <c r="B642" s="13">
        <f>(VLOOKUP(E$26,'Aging Factor'!$A$145:$G$242,5,1)*(SQRT(A642+K$26-L$26)*Calibration!$B$49)-((0.32989795*(A642+K$26-L$26)-1.302)))</f>
        <v>27.99759163047446</v>
      </c>
      <c r="C642" s="13">
        <f>A642*$B$50*(VLOOKUP(E$26,'Aging Factor'!$A$145:$G$242,5,1)*(G$26/L$26/12500)*('Degradation Model'!$B$26/F$26))</f>
        <v>17.028548736983769</v>
      </c>
      <c r="D642" s="13">
        <f>D641+(C629*100/I641)</f>
        <v>25.930257766261807</v>
      </c>
      <c r="E642" s="13">
        <f>((VLOOKUP(E$26,'Aging Factor'!$A$145:$H$242,8,1)-1)*F642*J$26/7)</f>
        <v>2.6512073569246981</v>
      </c>
      <c r="F642" s="13">
        <f t="shared" si="217"/>
        <v>53.927849396736264</v>
      </c>
      <c r="G642" s="13">
        <f t="shared" si="218"/>
        <v>56.579056753660964</v>
      </c>
      <c r="H642" s="13">
        <f t="shared" si="224"/>
        <v>3.5095466590702884</v>
      </c>
      <c r="I642" s="13">
        <f t="shared" si="219"/>
        <v>43.420943246339036</v>
      </c>
      <c r="J642" s="14">
        <f t="shared" si="220"/>
        <v>122.01285052221269</v>
      </c>
      <c r="K642" s="15">
        <f t="shared" si="221"/>
        <v>35.849319690927601</v>
      </c>
      <c r="L642" s="14">
        <f t="shared" si="222"/>
        <v>100.73658833150655</v>
      </c>
    </row>
    <row r="643" spans="1:12">
      <c r="A643" s="28">
        <f t="shared" si="223"/>
        <v>15</v>
      </c>
      <c r="B643" s="13">
        <f>(VLOOKUP(E$26,'Aging Factor'!$A$145:$G$242,5,1)*(SQRT(A643+K$26-L$26)*Calibration!$B$49)-((0.32989795*(A643+K$26-L$26)-1.302)))</f>
        <v>28.714994928993104</v>
      </c>
      <c r="C643" s="13">
        <f>A643*$B$50*(VLOOKUP(E$26,'Aging Factor'!$A$145:$G$242,5,1)*(G$26/L$26/12500)*('Degradation Model'!$B$26/F$26))</f>
        <v>18.244873646768326</v>
      </c>
      <c r="D643" s="13">
        <f>D642+(C629*100/I642)</f>
        <v>28.731497948641096</v>
      </c>
      <c r="E643" s="13">
        <f>((VLOOKUP(E$26,'Aging Factor'!$A$145:$H$242,8,1)-1)*F643*J$26/7)</f>
        <v>2.8241913269384611</v>
      </c>
      <c r="F643" s="13">
        <f t="shared" si="217"/>
        <v>57.446492877634199</v>
      </c>
      <c r="G643" s="13">
        <f t="shared" si="218"/>
        <v>60.27068420457266</v>
      </c>
      <c r="H643" s="13">
        <f t="shared" si="224"/>
        <v>3.691627450911696</v>
      </c>
      <c r="I643" s="13">
        <f t="shared" si="219"/>
        <v>39.72931579542734</v>
      </c>
      <c r="J643" s="14">
        <f t="shared" si="220"/>
        <v>111.63937738515082</v>
      </c>
      <c r="K643" s="15">
        <f t="shared" si="221"/>
        <v>32.80142798768378</v>
      </c>
      <c r="L643" s="14">
        <f t="shared" si="222"/>
        <v>92.172012645391419</v>
      </c>
    </row>
  </sheetData>
  <conditionalFormatting sqref="I89:I103 I167:I181 I189:I203 I211:I225 I233:I247 I255:I269 I277:I291 I299:I313 I321:I335 I343:I357 I365:I379 I387:I401 I409:I423 I431:I445 I453:I467 I475:I489 I497:I511 I519:I533 I541:I555 I563:I577 I585:I599 I607:I621 I629:I643">
    <cfRule type="cellIs" dxfId="7" priority="14" stopIfTrue="1" operator="lessThanOrEqual">
      <formula>$F$67</formula>
    </cfRule>
  </conditionalFormatting>
  <conditionalFormatting sqref="B91 D89:D103 F89:G103 D167:D181 F167:G181 D189:D203 F189:G203 D211:D225 F211:G225 D233:D247 F233:G247 D255:D269 F255:G269 D277:D291 F277:G291 D299:D313 F299:G313 D321:D335 F321:G335 D343:D357 F343:G357 D365:D379 F365:G379 D387:D401 F387:G401 D409:D423 F409:G423 D431:D445 F431:G445 D453:D467 F453:G467 D475:D489 F475:G489 D497:D511 F497:G511 D519:D533 F519:G533 D541:D555 F541:G555 D563:D577 F563:G577 D585:D599 F585:G599 D607:D621 F607:G621 D629:D643 F629:G643">
    <cfRule type="cellIs" dxfId="6" priority="3" stopIfTrue="1" operator="lessThanOrEqual">
      <formula>0</formula>
    </cfRule>
  </conditionalFormatting>
  <conditionalFormatting sqref="I89:I103 I167:I181 I189:I203 I211:I225 I233:I247 I255:I269 I277:I291 I299:I313 I321:I335 I343:I357 I365:I379 I387:I401 I409:I423 I431:I445 I453:I467 I475:I489 I497:I511 I519:I533 I541:I555 I563:I577 I585:I599 I607:I621 I629:I643">
    <cfRule type="cellIs" dxfId="5" priority="12" stopIfTrue="1" operator="lessThanOrEqual">
      <formula>0</formula>
    </cfRule>
  </conditionalFormatting>
  <conditionalFormatting sqref="E89:E103">
    <cfRule type="cellIs" dxfId="4" priority="5" stopIfTrue="1" operator="lessThan">
      <formula>0</formula>
    </cfRule>
  </conditionalFormatting>
  <conditionalFormatting sqref="B63">
    <cfRule type="cellIs" dxfId="3" priority="10" stopIfTrue="1" operator="equal">
      <formula>0</formula>
    </cfRule>
  </conditionalFormatting>
  <conditionalFormatting sqref="B91 D89:D103 F89:G103 D167:D181 F167:G181 D189:D203 F189:G203 D211:D225 F211:G225 D233:D247 F233:G247 D255:D269 F255:G269 D277:D291 F277:G291 D299:D313 F299:G313 D321:D335 F321:G335 D343:D357 F343:G357 D365:D379 F365:G379 D387:D401 F387:G401 D409:D423 F409:G423 D431:D445 F431:G445 D453:D467 F453:G467 D475:D489 F475:G489 D497:D511 F497:G511 D519:D533 F519:G533 D541:D555 F541:G555 D563:D577 F563:G577 D585:D599 F585:G599 D607:D621 F607:G621 D629:D643 F629:G643">
    <cfRule type="cellIs" dxfId="2" priority="4" stopIfTrue="1" operator="greaterThanOrEqual">
      <formula>100</formula>
    </cfRule>
  </conditionalFormatting>
  <conditionalFormatting sqref="I89:I103 I167:I181 I189:I203 I211:I225 I233:I247 I255:I269 I277:I291 I299:I313 I321:I335 I343:I357 I365:I379 I387:I401 I409:I423 I431:I445 I453:I467 I475:I489 I497:I511 I519:I533 I541:I555 I563:I577 I585:I599 I607:I621 I629:I643">
    <cfRule type="cellIs" dxfId="1" priority="13" stopIfTrue="1" operator="greaterThan">
      <formula>100</formula>
    </cfRule>
  </conditionalFormatting>
  <dataValidations count="3">
    <dataValidation allowBlank="1" showErrorMessage="1" sqref="B71"/>
    <dataValidation type="decimal" allowBlank="1" showErrorMessage="1" error="Acceptable values are between 20 and 95" sqref="F67 E73:E81">
      <formula1>20</formula1>
      <formula2>95</formula2>
    </dataValidation>
    <dataValidation allowBlank="1" error="Acceptable values are between 0 and 40" sqref="F61"/>
  </dataValidations>
  <pageMargins left="0" right="0" top="0.39410000000000006" bottom="0.39410000000000006" header="0" footer="0"/>
  <headerFooter>
    <oddHeader>&amp;C&amp;A</oddHeader>
    <oddFooter>&amp;CPage &amp;P</oddFooter>
  </headerFooter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" stopIfTrue="1" operator="lessThan" id="{7F81369F-EF70-4987-8B90-F9FA141BA4C3}">
            <xm:f>Prediction!$F$13</xm:f>
            <x14:dxf>
              <font>
                <color rgb="FFFFFFFF"/>
              </font>
              <numFmt numFmtId="2" formatCode="0.00"/>
              <fill>
                <patternFill patternType="solid">
                  <fgColor rgb="FFDC2300"/>
                  <bgColor rgb="FFDC2300"/>
                </patternFill>
              </fill>
            </x14:dxf>
          </x14:cfRule>
          <xm:sqref>T5:T26 T32:T38 T42:T45 M61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>
          <x14:formula1>
            <xm:f>'Aging Factor'!$A$145:$A$242</xm:f>
          </x14:formula1>
          <xm:sqref>B59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Q64"/>
  <sheetViews>
    <sheetView workbookViewId="0"/>
  </sheetViews>
  <sheetFormatPr defaultRowHeight="14.25"/>
  <cols>
    <col min="1" max="1" width="25.25" customWidth="1"/>
    <col min="2" max="2" width="12.5" customWidth="1"/>
    <col min="3" max="5" width="10.75" customWidth="1"/>
    <col min="6" max="6" width="12.125" customWidth="1"/>
    <col min="7" max="7" width="12.5" customWidth="1"/>
    <col min="8" max="17" width="10.75" customWidth="1"/>
  </cols>
  <sheetData>
    <row r="1" spans="1:16">
      <c r="A1" s="4" t="s">
        <v>145</v>
      </c>
      <c r="I1" s="7" t="s">
        <v>146</v>
      </c>
      <c r="J1" s="7" t="s">
        <v>73</v>
      </c>
      <c r="K1" s="7"/>
    </row>
    <row r="2" spans="1:16">
      <c r="I2" s="7" t="s">
        <v>147</v>
      </c>
      <c r="J2" s="7" t="s">
        <v>148</v>
      </c>
      <c r="K2" s="7" t="s">
        <v>149</v>
      </c>
    </row>
    <row r="3" spans="1:16">
      <c r="A3" s="7"/>
      <c r="B3" s="7" t="s">
        <v>150</v>
      </c>
      <c r="C3" s="7" t="s">
        <v>151</v>
      </c>
      <c r="D3" s="7" t="s">
        <v>152</v>
      </c>
      <c r="E3" s="7" t="s">
        <v>153</v>
      </c>
      <c r="F3" s="7" t="s">
        <v>154</v>
      </c>
      <c r="G3" s="7" t="s">
        <v>155</v>
      </c>
      <c r="I3" s="7" t="s">
        <v>73</v>
      </c>
      <c r="J3" s="7" t="s">
        <v>156</v>
      </c>
      <c r="K3" s="7" t="s">
        <v>73</v>
      </c>
    </row>
    <row r="4" spans="1:16">
      <c r="A4" s="7"/>
    </row>
    <row r="5" spans="1:16">
      <c r="A5" s="7" t="s">
        <v>157</v>
      </c>
      <c r="B5" s="28">
        <v>94</v>
      </c>
      <c r="C5" s="28">
        <v>93</v>
      </c>
      <c r="D5" s="28">
        <v>90</v>
      </c>
      <c r="E5" s="28">
        <v>84</v>
      </c>
      <c r="F5" s="28"/>
      <c r="G5" s="28">
        <v>12500</v>
      </c>
      <c r="I5" s="28">
        <v>0.75</v>
      </c>
      <c r="J5" s="13">
        <f>I5/$I$6</f>
        <v>0.83333333333333326</v>
      </c>
      <c r="K5" s="13">
        <v>0.74</v>
      </c>
      <c r="L5" s="44"/>
    </row>
    <row r="6" spans="1:16">
      <c r="A6" s="7" t="s">
        <v>158</v>
      </c>
      <c r="B6" s="28"/>
      <c r="C6" s="28">
        <v>92</v>
      </c>
      <c r="D6" s="28">
        <v>88</v>
      </c>
      <c r="E6" s="28">
        <v>80</v>
      </c>
      <c r="F6" s="28">
        <v>70</v>
      </c>
      <c r="G6" s="28">
        <v>12500</v>
      </c>
      <c r="I6" s="28">
        <v>0.9</v>
      </c>
      <c r="J6" s="13">
        <f>I6/$I$6</f>
        <v>1</v>
      </c>
      <c r="K6" s="13">
        <v>1</v>
      </c>
      <c r="L6" s="44"/>
    </row>
    <row r="7" spans="1:16">
      <c r="A7" s="7" t="s">
        <v>159</v>
      </c>
      <c r="B7" s="28">
        <v>92</v>
      </c>
      <c r="C7" s="28">
        <v>89</v>
      </c>
      <c r="D7" s="28">
        <v>85</v>
      </c>
      <c r="E7" s="28">
        <v>75</v>
      </c>
      <c r="F7" s="28"/>
      <c r="G7" s="28">
        <v>7500</v>
      </c>
      <c r="I7" s="28">
        <v>1.35</v>
      </c>
      <c r="J7" s="13">
        <f>I7/$I$6</f>
        <v>1.5</v>
      </c>
      <c r="K7" s="13">
        <v>1.81</v>
      </c>
      <c r="L7" s="44"/>
      <c r="O7" s="44"/>
    </row>
    <row r="10" spans="1:16">
      <c r="B10" s="7" t="s">
        <v>150</v>
      </c>
      <c r="C10" s="7" t="s">
        <v>150</v>
      </c>
      <c r="D10" s="7" t="s">
        <v>150</v>
      </c>
      <c r="E10" s="7" t="s">
        <v>151</v>
      </c>
      <c r="F10" s="7" t="s">
        <v>151</v>
      </c>
      <c r="G10" s="7" t="s">
        <v>151</v>
      </c>
      <c r="H10" s="7" t="s">
        <v>152</v>
      </c>
      <c r="I10" s="7" t="s">
        <v>152</v>
      </c>
      <c r="J10" s="7" t="s">
        <v>152</v>
      </c>
      <c r="K10" s="7" t="s">
        <v>153</v>
      </c>
      <c r="L10" s="7" t="s">
        <v>153</v>
      </c>
      <c r="M10" s="7" t="s">
        <v>153</v>
      </c>
      <c r="N10" s="7" t="s">
        <v>154</v>
      </c>
      <c r="O10" s="7" t="s">
        <v>154</v>
      </c>
      <c r="P10" s="7" t="s">
        <v>154</v>
      </c>
    </row>
    <row r="11" spans="1:16">
      <c r="B11" s="7" t="s">
        <v>160</v>
      </c>
      <c r="C11" s="7" t="s">
        <v>161</v>
      </c>
      <c r="D11" s="7" t="s">
        <v>162</v>
      </c>
      <c r="E11" s="7" t="s">
        <v>160</v>
      </c>
      <c r="F11" s="7" t="s">
        <v>161</v>
      </c>
      <c r="G11" s="7" t="s">
        <v>162</v>
      </c>
      <c r="H11" s="7" t="s">
        <v>160</v>
      </c>
      <c r="I11" s="7" t="s">
        <v>161</v>
      </c>
      <c r="J11" s="7" t="s">
        <v>162</v>
      </c>
      <c r="K11" s="7" t="s">
        <v>160</v>
      </c>
      <c r="L11" s="7" t="s">
        <v>161</v>
      </c>
      <c r="M11" s="7" t="s">
        <v>162</v>
      </c>
      <c r="N11" s="7" t="s">
        <v>160</v>
      </c>
      <c r="O11" s="7" t="s">
        <v>161</v>
      </c>
      <c r="P11" s="7" t="s">
        <v>162</v>
      </c>
    </row>
    <row r="13" spans="1:16">
      <c r="A13" s="7" t="s">
        <v>157</v>
      </c>
      <c r="B13" s="13">
        <f>$C$38*I5-$H$26</f>
        <v>4.7963290926403834</v>
      </c>
      <c r="C13" s="13">
        <f>$I$5*Calibration!$B$50</f>
        <v>1.5</v>
      </c>
      <c r="D13" s="45">
        <f>B13+C13</f>
        <v>6.2963290926403834</v>
      </c>
      <c r="E13" s="13">
        <f>Calibration!$B$49*I5-$I$26</f>
        <v>6.1150000000000002</v>
      </c>
      <c r="F13" s="13">
        <f>$I$5*Calibration!$B$50</f>
        <v>1.5</v>
      </c>
      <c r="G13" s="45">
        <f>E13+F13</f>
        <v>7.6150000000000002</v>
      </c>
      <c r="H13" s="13">
        <f>$C$40*I5-$J$26</f>
        <v>7.9985551852807664</v>
      </c>
      <c r="I13" s="13">
        <f>2*F13</f>
        <v>3</v>
      </c>
      <c r="J13" s="45">
        <f>H13+I13</f>
        <v>10.998555185280766</v>
      </c>
      <c r="K13" s="13">
        <f>$C$43*I5-$K$26</f>
        <v>11.221651783561413</v>
      </c>
      <c r="L13" s="13">
        <f>5*F13</f>
        <v>7.5</v>
      </c>
      <c r="M13" s="45">
        <f>K13+L13</f>
        <v>18.721651783561413</v>
      </c>
      <c r="N13" s="13">
        <f>$C$48*I5-$L$26</f>
        <v>14.364786891371367</v>
      </c>
      <c r="O13" s="13">
        <f>10*F13</f>
        <v>15</v>
      </c>
      <c r="P13" s="45">
        <f>N13+O13</f>
        <v>29.364786891371367</v>
      </c>
    </row>
    <row r="14" spans="1:16">
      <c r="A14" s="7" t="s">
        <v>158</v>
      </c>
      <c r="B14" s="13">
        <f>$C$38*I6-$H$26</f>
        <v>5.5281846111684603</v>
      </c>
      <c r="C14" s="13">
        <f>$I$6*Calibration!$B$50</f>
        <v>1.8</v>
      </c>
      <c r="D14" s="45">
        <f>B14+C14</f>
        <v>7.3281846111684601</v>
      </c>
      <c r="E14" s="13">
        <f>Calibration!$B$49*I6-$I$26</f>
        <v>7.15</v>
      </c>
      <c r="F14" s="13">
        <f>$I$6*Calibration!$B$50</f>
        <v>1.8</v>
      </c>
      <c r="G14" s="45">
        <f>E14+F14</f>
        <v>8.9500000000000011</v>
      </c>
      <c r="H14" s="13">
        <f>$C$40*I6-$J$26</f>
        <v>9.4622662223369201</v>
      </c>
      <c r="I14" s="13">
        <f>2*F14</f>
        <v>3.6</v>
      </c>
      <c r="J14" s="45">
        <f>H14+I14</f>
        <v>13.06226622233692</v>
      </c>
      <c r="K14" s="13">
        <f>$C$43*I6-$K$26</f>
        <v>13.535982140273696</v>
      </c>
      <c r="L14" s="13">
        <f>5*F14</f>
        <v>9</v>
      </c>
      <c r="M14" s="45">
        <f>K14+L14</f>
        <v>22.535982140273696</v>
      </c>
      <c r="N14" s="13">
        <f>$C$48*I6-$L$26</f>
        <v>17.637744269645641</v>
      </c>
      <c r="O14" s="13">
        <f>10*F14</f>
        <v>18</v>
      </c>
      <c r="P14" s="45">
        <f>N14+O14</f>
        <v>35.637744269645637</v>
      </c>
    </row>
    <row r="15" spans="1:16">
      <c r="A15" s="7" t="s">
        <v>159</v>
      </c>
      <c r="B15" s="13">
        <f>$C$38*I7-$H$26</f>
        <v>7.7237511667526908</v>
      </c>
      <c r="C15" s="13">
        <f>$I$7*Calibration!$B$50*$G$7/$G$6</f>
        <v>1.62</v>
      </c>
      <c r="D15" s="45">
        <f>B15+C15</f>
        <v>9.3437511667526909</v>
      </c>
      <c r="E15" s="13">
        <f>Calibration!$B$49*I7-$I$26</f>
        <v>10.255000000000001</v>
      </c>
      <c r="F15" s="13">
        <f>$I$7*Calibration!$B$50*$G$7/$G$6</f>
        <v>1.62</v>
      </c>
      <c r="G15" s="45">
        <f>E15+F15</f>
        <v>11.875</v>
      </c>
      <c r="H15" s="13">
        <f>$C$40*I7-$J$26</f>
        <v>13.853399333505381</v>
      </c>
      <c r="I15" s="13">
        <f>2*F15</f>
        <v>3.24</v>
      </c>
      <c r="J15" s="45">
        <f>H15+I15</f>
        <v>17.093399333505381</v>
      </c>
      <c r="K15" s="13">
        <f>$C$43*I7-$K$26</f>
        <v>20.478973210410544</v>
      </c>
      <c r="L15" s="13">
        <f>5*F15</f>
        <v>8.1000000000000014</v>
      </c>
      <c r="M15" s="45">
        <f>K15+L15</f>
        <v>28.578973210410545</v>
      </c>
      <c r="N15" s="13">
        <f>$C$48*I7-$L$26</f>
        <v>27.456616404468459</v>
      </c>
      <c r="O15" s="13">
        <f>10*F15</f>
        <v>16.200000000000003</v>
      </c>
      <c r="P15" s="45">
        <f>N15+O15</f>
        <v>43.656616404468465</v>
      </c>
    </row>
    <row r="17" spans="1:17">
      <c r="A17" s="7" t="s">
        <v>163</v>
      </c>
      <c r="D17" s="15">
        <f>D13-(100-B5)</f>
        <v>0.29632909264038343</v>
      </c>
      <c r="E17" s="46">
        <f>D17/D13</f>
        <v>4.7063787213212041E-2</v>
      </c>
      <c r="G17" s="15">
        <f>G13-(100-C5)</f>
        <v>0.61500000000000021</v>
      </c>
      <c r="H17" s="46">
        <f>G17/G13</f>
        <v>8.0761654629021698E-2</v>
      </c>
      <c r="J17" s="15">
        <f>J13-(100-D5)</f>
        <v>0.99855518528076637</v>
      </c>
      <c r="K17" s="46">
        <f>J17/J13</f>
        <v>9.0789669048269239E-2</v>
      </c>
      <c r="M17" s="15">
        <f>M13-(100-E5)</f>
        <v>2.7216517835614127</v>
      </c>
      <c r="N17" s="46">
        <f>M17/M13</f>
        <v>0.145374554287521</v>
      </c>
    </row>
    <row r="18" spans="1:17">
      <c r="A18" s="7" t="s">
        <v>164</v>
      </c>
      <c r="G18" s="15">
        <f>G14-(100-C6)</f>
        <v>0.95000000000000107</v>
      </c>
      <c r="H18" s="46">
        <f>G18/G14</f>
        <v>0.10614525139664815</v>
      </c>
      <c r="J18" s="15">
        <f>J14-(100-D6)</f>
        <v>1.0622662223369197</v>
      </c>
      <c r="K18" s="46">
        <f>J18/J14</f>
        <v>8.132327149483512E-2</v>
      </c>
      <c r="M18" s="15">
        <f>M14-(100-E6)</f>
        <v>2.5359821402736955</v>
      </c>
      <c r="N18" s="46">
        <f>M18/M14</f>
        <v>0.11253035809527387</v>
      </c>
      <c r="P18" s="15">
        <f>P14-(100-F6)</f>
        <v>5.637744269645637</v>
      </c>
      <c r="Q18" s="46">
        <f>P18/P14</f>
        <v>0.15819587870064974</v>
      </c>
    </row>
    <row r="19" spans="1:17">
      <c r="A19" s="7" t="s">
        <v>165</v>
      </c>
      <c r="D19" s="15">
        <f>D15-(100-B7)</f>
        <v>1.3437511667526909</v>
      </c>
      <c r="E19" s="46">
        <f>D19/D15</f>
        <v>0.14381281594206832</v>
      </c>
      <c r="G19" s="15">
        <f>G15-(100-C7)</f>
        <v>0.875</v>
      </c>
      <c r="H19" s="46">
        <f>G19/G15</f>
        <v>7.3684210526315783E-2</v>
      </c>
      <c r="J19" s="15">
        <f>J15-(100-D7)</f>
        <v>2.0933993335053813</v>
      </c>
      <c r="K19" s="46">
        <f>J19/J15</f>
        <v>0.12246828689025212</v>
      </c>
      <c r="M19" s="15">
        <f>M15-(100-E7)</f>
        <v>3.5789732104105454</v>
      </c>
      <c r="N19" s="46">
        <f>M19/M15</f>
        <v>0.12523099357211415</v>
      </c>
    </row>
    <row r="21" spans="1:17">
      <c r="A21" s="7" t="s">
        <v>166</v>
      </c>
      <c r="D21" s="13">
        <f>(D17+D19)/2</f>
        <v>0.82004012969653717</v>
      </c>
      <c r="G21" s="13">
        <f>AVERAGE(G17:G19)</f>
        <v>0.8133333333333338</v>
      </c>
      <c r="J21" s="13">
        <f>AVERAGE(J17:J19)</f>
        <v>1.3847402470410224</v>
      </c>
      <c r="M21" s="13">
        <f>AVERAGE(M17:M19)</f>
        <v>2.9455357114152179</v>
      </c>
      <c r="P21" s="15">
        <f>P18</f>
        <v>5.637744269645637</v>
      </c>
    </row>
    <row r="22" spans="1:17">
      <c r="A22" s="7" t="s">
        <v>42</v>
      </c>
      <c r="D22" s="28">
        <v>0.5</v>
      </c>
      <c r="G22" s="28">
        <v>1</v>
      </c>
      <c r="J22" s="28">
        <v>2</v>
      </c>
      <c r="M22" s="28">
        <v>5</v>
      </c>
      <c r="P22" s="28">
        <v>10</v>
      </c>
    </row>
    <row r="24" spans="1:17">
      <c r="F24" s="7" t="s">
        <v>42</v>
      </c>
      <c r="G24" s="7"/>
      <c r="H24" s="7">
        <v>0.5</v>
      </c>
      <c r="I24" s="7">
        <v>1</v>
      </c>
      <c r="J24" s="7">
        <v>2</v>
      </c>
      <c r="K24" s="7">
        <v>5</v>
      </c>
      <c r="L24" s="7">
        <v>10</v>
      </c>
    </row>
    <row r="25" spans="1:17">
      <c r="F25" s="7"/>
      <c r="G25" s="7"/>
    </row>
    <row r="26" spans="1:17">
      <c r="A26" s="7" t="s">
        <v>167</v>
      </c>
      <c r="B26" s="13">
        <f>100/21.381</f>
        <v>4.6770497170384919</v>
      </c>
      <c r="F26" s="7" t="s">
        <v>168</v>
      </c>
      <c r="G26" s="7"/>
      <c r="H26" s="13">
        <f>0.5*0.329897-1.302</f>
        <v>-1.1370515000000001</v>
      </c>
      <c r="I26" s="28">
        <v>-0.94</v>
      </c>
      <c r="J26" s="28">
        <v>-0.68</v>
      </c>
      <c r="K26" s="28">
        <v>0.35</v>
      </c>
      <c r="L26" s="28">
        <v>2</v>
      </c>
    </row>
    <row r="27" spans="1:17">
      <c r="F27" s="7" t="s">
        <v>169</v>
      </c>
      <c r="G27" s="7"/>
    </row>
    <row r="28" spans="1:17">
      <c r="B28" s="44"/>
    </row>
    <row r="35" spans="1:13">
      <c r="A35" s="7"/>
      <c r="B35" s="7"/>
      <c r="C35" s="47" t="s">
        <v>160</v>
      </c>
      <c r="D35" s="47" t="s">
        <v>170</v>
      </c>
      <c r="J35" s="44"/>
    </row>
    <row r="36" spans="1:13">
      <c r="A36" s="47" t="s">
        <v>42</v>
      </c>
      <c r="B36" s="47" t="s">
        <v>171</v>
      </c>
      <c r="C36" s="47" t="s">
        <v>172</v>
      </c>
      <c r="D36" s="47" t="s">
        <v>173</v>
      </c>
      <c r="J36" s="44"/>
    </row>
    <row r="37" spans="1:13">
      <c r="A37" s="7"/>
    </row>
    <row r="38" spans="1:13">
      <c r="A38" s="7">
        <v>0.5</v>
      </c>
      <c r="B38" s="13">
        <f t="shared" ref="B38:B53" si="0">SQRT(A38)</f>
        <v>0.70710678118654757</v>
      </c>
      <c r="C38" s="13">
        <f>B38*Calibration!$B$49</f>
        <v>4.8790367901871781</v>
      </c>
      <c r="D38" s="28"/>
    </row>
    <row r="39" spans="1:13">
      <c r="A39" s="7">
        <v>1</v>
      </c>
      <c r="B39" s="13">
        <f t="shared" si="0"/>
        <v>1</v>
      </c>
      <c r="C39" s="13">
        <f>B39*Calibration!$B$49</f>
        <v>6.9</v>
      </c>
      <c r="D39" s="48"/>
    </row>
    <row r="40" spans="1:13">
      <c r="A40" s="7">
        <f t="shared" ref="A40:A53" si="1">1+A39</f>
        <v>2</v>
      </c>
      <c r="B40" s="13">
        <f t="shared" si="0"/>
        <v>1.4142135623730951</v>
      </c>
      <c r="C40" s="13">
        <f>B40*Calibration!$B$49</f>
        <v>9.7580735803743561</v>
      </c>
      <c r="D40" s="13">
        <f t="shared" ref="D40:D53" si="2">C40-C39</f>
        <v>2.8580735803743558</v>
      </c>
    </row>
    <row r="41" spans="1:13">
      <c r="A41" s="7">
        <f t="shared" si="1"/>
        <v>3</v>
      </c>
      <c r="B41" s="13">
        <f t="shared" si="0"/>
        <v>1.7320508075688772</v>
      </c>
      <c r="C41" s="13">
        <f>B41*Calibration!$B$49</f>
        <v>11.951150572225254</v>
      </c>
      <c r="D41" s="13">
        <f t="shared" si="2"/>
        <v>2.1930769918508979</v>
      </c>
    </row>
    <row r="42" spans="1:13">
      <c r="A42" s="7">
        <f t="shared" si="1"/>
        <v>4</v>
      </c>
      <c r="B42" s="13">
        <f t="shared" si="0"/>
        <v>2</v>
      </c>
      <c r="C42" s="13">
        <f>B42*Calibration!$B$49</f>
        <v>13.8</v>
      </c>
      <c r="D42" s="13">
        <f t="shared" si="2"/>
        <v>1.8488494277747467</v>
      </c>
      <c r="I42" s="44"/>
      <c r="J42" s="44"/>
      <c r="K42" s="44"/>
      <c r="L42" s="44"/>
      <c r="M42" s="44"/>
    </row>
    <row r="43" spans="1:13">
      <c r="A43" s="7">
        <f t="shared" si="1"/>
        <v>5</v>
      </c>
      <c r="B43" s="13">
        <f t="shared" si="0"/>
        <v>2.2360679774997898</v>
      </c>
      <c r="C43" s="13">
        <f>B43*Calibration!$B$49</f>
        <v>15.42886904474855</v>
      </c>
      <c r="D43" s="13">
        <f t="shared" si="2"/>
        <v>1.6288690447485497</v>
      </c>
    </row>
    <row r="44" spans="1:13">
      <c r="A44" s="7">
        <f t="shared" si="1"/>
        <v>6</v>
      </c>
      <c r="B44" s="13">
        <f t="shared" si="0"/>
        <v>2.4494897427831779</v>
      </c>
      <c r="C44" s="13">
        <f>B44*Calibration!$B$49</f>
        <v>16.901479225203929</v>
      </c>
      <c r="D44" s="13">
        <f t="shared" si="2"/>
        <v>1.4726101804553782</v>
      </c>
    </row>
    <row r="45" spans="1:13">
      <c r="A45" s="7">
        <f t="shared" si="1"/>
        <v>7</v>
      </c>
      <c r="B45" s="13">
        <f t="shared" si="0"/>
        <v>2.6457513110645907</v>
      </c>
      <c r="C45" s="13">
        <f>B45*Calibration!$B$49</f>
        <v>18.255684046345678</v>
      </c>
      <c r="D45" s="13">
        <f t="shared" si="2"/>
        <v>1.3542048211417494</v>
      </c>
    </row>
    <row r="46" spans="1:13">
      <c r="A46" s="7">
        <f t="shared" si="1"/>
        <v>8</v>
      </c>
      <c r="B46" s="13">
        <f t="shared" si="0"/>
        <v>2.8284271247461903</v>
      </c>
      <c r="C46" s="13">
        <f>B46*Calibration!$B$49</f>
        <v>19.516147160748712</v>
      </c>
      <c r="D46" s="13">
        <f t="shared" si="2"/>
        <v>1.2604631144030343</v>
      </c>
    </row>
    <row r="47" spans="1:13">
      <c r="A47" s="7">
        <f t="shared" si="1"/>
        <v>9</v>
      </c>
      <c r="B47" s="13">
        <f t="shared" si="0"/>
        <v>3</v>
      </c>
      <c r="C47" s="13">
        <f>B47*Calibration!$B$49</f>
        <v>20.700000000000003</v>
      </c>
      <c r="D47" s="13">
        <f t="shared" si="2"/>
        <v>1.1838528392512906</v>
      </c>
    </row>
    <row r="48" spans="1:13">
      <c r="A48" s="7">
        <f t="shared" si="1"/>
        <v>10</v>
      </c>
      <c r="B48" s="13">
        <f t="shared" si="0"/>
        <v>3.1622776601683795</v>
      </c>
      <c r="C48" s="13">
        <f>B48*Calibration!$B$49</f>
        <v>21.819715855161821</v>
      </c>
      <c r="D48" s="13">
        <f t="shared" si="2"/>
        <v>1.119715855161818</v>
      </c>
    </row>
    <row r="49" spans="1:8">
      <c r="A49" s="7">
        <f t="shared" si="1"/>
        <v>11</v>
      </c>
      <c r="B49" s="13">
        <f t="shared" si="0"/>
        <v>3.3166247903553998</v>
      </c>
      <c r="C49" s="13">
        <f>B49*Calibration!$B$49</f>
        <v>22.884711053452261</v>
      </c>
      <c r="D49" s="13">
        <f t="shared" si="2"/>
        <v>1.0649951982904398</v>
      </c>
    </row>
    <row r="50" spans="1:8">
      <c r="A50" s="7">
        <f t="shared" si="1"/>
        <v>12</v>
      </c>
      <c r="B50" s="13">
        <f t="shared" si="0"/>
        <v>3.4641016151377544</v>
      </c>
      <c r="C50" s="13">
        <f>B50*Calibration!$B$49</f>
        <v>23.902301144450508</v>
      </c>
      <c r="D50" s="13">
        <f t="shared" si="2"/>
        <v>1.0175900909982474</v>
      </c>
    </row>
    <row r="51" spans="1:8">
      <c r="A51" s="7">
        <f t="shared" si="1"/>
        <v>13</v>
      </c>
      <c r="B51" s="13">
        <f t="shared" si="0"/>
        <v>3.6055512754639891</v>
      </c>
      <c r="C51" s="13">
        <f>B51*Calibration!$B$49</f>
        <v>24.878303800701527</v>
      </c>
      <c r="D51" s="13">
        <f t="shared" si="2"/>
        <v>0.97600265625101912</v>
      </c>
    </row>
    <row r="52" spans="1:8">
      <c r="A52" s="7">
        <f t="shared" si="1"/>
        <v>14</v>
      </c>
      <c r="B52" s="13">
        <f t="shared" si="0"/>
        <v>3.7416573867739413</v>
      </c>
      <c r="C52" s="13">
        <f>B52*Calibration!$B$49</f>
        <v>25.817435968740195</v>
      </c>
      <c r="D52" s="13">
        <f t="shared" si="2"/>
        <v>0.93913216803866817</v>
      </c>
    </row>
    <row r="53" spans="1:8">
      <c r="A53" s="7">
        <f t="shared" si="1"/>
        <v>15</v>
      </c>
      <c r="B53" s="13">
        <f t="shared" si="0"/>
        <v>3.872983346207417</v>
      </c>
      <c r="C53" s="13">
        <f>B53*Calibration!$B$49</f>
        <v>26.723585088831179</v>
      </c>
      <c r="D53" s="13">
        <f t="shared" si="2"/>
        <v>0.90614912009098347</v>
      </c>
    </row>
    <row r="56" spans="1:8">
      <c r="A56" s="7" t="s">
        <v>174</v>
      </c>
      <c r="B56" s="7"/>
      <c r="C56" s="7" t="s">
        <v>175</v>
      </c>
      <c r="D56" s="7" t="s">
        <v>176</v>
      </c>
      <c r="E56" s="7" t="s">
        <v>73</v>
      </c>
      <c r="F56" s="7" t="s">
        <v>177</v>
      </c>
    </row>
    <row r="57" spans="1:8">
      <c r="C57" s="28">
        <v>1.3</v>
      </c>
      <c r="D57" s="28">
        <f>1.8*C57</f>
        <v>2.3400000000000003</v>
      </c>
      <c r="E57" s="13">
        <f>2^(C57/10)</f>
        <v>1.0942937012607394</v>
      </c>
      <c r="F57" s="13">
        <f>E57*100-100</f>
        <v>9.4293701260739482</v>
      </c>
    </row>
    <row r="58" spans="1:8">
      <c r="C58" s="28">
        <v>3.1</v>
      </c>
      <c r="D58" s="28">
        <f>1.8*C58</f>
        <v>5.58</v>
      </c>
      <c r="E58" s="13">
        <f>2^(C58/10)</f>
        <v>1.2397076999389864</v>
      </c>
      <c r="F58" s="13">
        <f>E58*100-100</f>
        <v>23.970769993898642</v>
      </c>
    </row>
    <row r="61" spans="1:8">
      <c r="A61" s="7"/>
      <c r="B61" s="7"/>
      <c r="C61" s="7"/>
      <c r="D61" s="7" t="s">
        <v>2</v>
      </c>
      <c r="E61" s="7"/>
      <c r="F61" s="7" t="s">
        <v>5</v>
      </c>
      <c r="G61" s="35" t="s">
        <v>50</v>
      </c>
      <c r="H61" s="35"/>
    </row>
    <row r="62" spans="1:8">
      <c r="A62" s="7" t="s">
        <v>178</v>
      </c>
      <c r="B62" s="7" t="s">
        <v>160</v>
      </c>
      <c r="C62" s="7" t="s">
        <v>161</v>
      </c>
      <c r="D62" s="7" t="s">
        <v>161</v>
      </c>
      <c r="E62" s="7" t="s">
        <v>12</v>
      </c>
      <c r="F62" s="7" t="s">
        <v>52</v>
      </c>
      <c r="G62" s="35" t="s">
        <v>52</v>
      </c>
      <c r="H62" s="35" t="s">
        <v>77</v>
      </c>
    </row>
    <row r="64" spans="1:8">
      <c r="A64" s="7" t="s">
        <v>179</v>
      </c>
      <c r="B64" s="13">
        <f>I7*SQRT(1.3)*Calibration!B49</f>
        <v>10.620734084798473</v>
      </c>
      <c r="C64" s="13">
        <f>F15*2*1.3-$I$26</f>
        <v>5.152000000000001</v>
      </c>
      <c r="D64" s="13">
        <f>C64*B26/B26</f>
        <v>5.152000000000001</v>
      </c>
      <c r="E64" s="13">
        <f>B64+D64</f>
        <v>15.772734084798474</v>
      </c>
      <c r="F64" s="15">
        <f>100-E64</f>
        <v>84.227265915201528</v>
      </c>
      <c r="G64" s="35">
        <v>84.7</v>
      </c>
      <c r="H64" s="20">
        <f>G64-F64</f>
        <v>0.4727340847984749</v>
      </c>
    </row>
  </sheetData>
  <pageMargins left="0" right="0" top="0.39410000000000006" bottom="0.39410000000000006" header="0" footer="0"/>
  <headerFooter>
    <oddHeader>&amp;C&amp;A</oddHeader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R242"/>
  <sheetViews>
    <sheetView workbookViewId="0">
      <selection activeCell="A41" sqref="A41:A138"/>
    </sheetView>
  </sheetViews>
  <sheetFormatPr defaultRowHeight="14.25"/>
  <cols>
    <col min="1" max="1" width="21.75" customWidth="1"/>
    <col min="2" max="2" width="10.75" customWidth="1"/>
    <col min="3" max="3" width="14" customWidth="1"/>
    <col min="4" max="4" width="18.75" customWidth="1"/>
    <col min="5" max="5" width="24.375" customWidth="1"/>
    <col min="6" max="6" width="12.375" customWidth="1"/>
    <col min="7" max="7" width="13.5" customWidth="1"/>
    <col min="8" max="8" width="13.125" customWidth="1"/>
    <col min="9" max="9" width="10.75" customWidth="1"/>
    <col min="10" max="10" width="21.5" customWidth="1"/>
    <col min="11" max="1006" width="10.75" customWidth="1"/>
  </cols>
  <sheetData>
    <row r="1" spans="1:37" s="7" customFormat="1">
      <c r="B1" s="7" t="s">
        <v>180</v>
      </c>
      <c r="E1" s="7" t="s">
        <v>134</v>
      </c>
      <c r="H1" s="7" t="s">
        <v>81</v>
      </c>
      <c r="K1" s="7" t="s">
        <v>119</v>
      </c>
      <c r="N1" s="7" t="s">
        <v>104</v>
      </c>
      <c r="Q1" s="7" t="s">
        <v>181</v>
      </c>
      <c r="T1" s="7" t="s">
        <v>182</v>
      </c>
      <c r="W1" s="7" t="s">
        <v>183</v>
      </c>
      <c r="Z1" s="7" t="s">
        <v>184</v>
      </c>
      <c r="AC1" s="7" t="s">
        <v>185</v>
      </c>
      <c r="AF1" s="7" t="s">
        <v>186</v>
      </c>
      <c r="AI1" s="7" t="s">
        <v>187</v>
      </c>
    </row>
    <row r="2" spans="1:37">
      <c r="D2" s="28" t="s">
        <v>149</v>
      </c>
      <c r="G2" s="28" t="s">
        <v>149</v>
      </c>
      <c r="J2" s="28" t="s">
        <v>149</v>
      </c>
      <c r="M2" s="28" t="s">
        <v>149</v>
      </c>
      <c r="P2" s="28" t="s">
        <v>149</v>
      </c>
      <c r="S2" s="28" t="s">
        <v>149</v>
      </c>
      <c r="V2" s="28" t="s">
        <v>149</v>
      </c>
      <c r="Y2" s="28" t="s">
        <v>149</v>
      </c>
      <c r="AB2" s="28" t="s">
        <v>149</v>
      </c>
      <c r="AE2" s="28" t="s">
        <v>149</v>
      </c>
      <c r="AH2" s="28" t="s">
        <v>149</v>
      </c>
      <c r="AK2" s="28" t="s">
        <v>149</v>
      </c>
    </row>
    <row r="3" spans="1:37">
      <c r="A3" s="7" t="s">
        <v>260</v>
      </c>
      <c r="B3" t="s">
        <v>261</v>
      </c>
      <c r="C3" t="s">
        <v>54</v>
      </c>
      <c r="D3" s="28" t="s">
        <v>73</v>
      </c>
      <c r="E3" t="s">
        <v>261</v>
      </c>
      <c r="F3" t="s">
        <v>54</v>
      </c>
      <c r="G3" s="28" t="s">
        <v>73</v>
      </c>
      <c r="H3" t="s">
        <v>261</v>
      </c>
      <c r="I3" t="s">
        <v>54</v>
      </c>
      <c r="J3" s="28" t="s">
        <v>73</v>
      </c>
      <c r="K3" t="s">
        <v>261</v>
      </c>
      <c r="L3" t="s">
        <v>54</v>
      </c>
      <c r="M3" s="28" t="s">
        <v>73</v>
      </c>
      <c r="N3" t="s">
        <v>261</v>
      </c>
      <c r="O3" t="s">
        <v>54</v>
      </c>
      <c r="P3" s="28" t="s">
        <v>73</v>
      </c>
      <c r="Q3" t="s">
        <v>261</v>
      </c>
      <c r="R3" t="s">
        <v>54</v>
      </c>
      <c r="S3" s="28" t="s">
        <v>73</v>
      </c>
      <c r="T3" t="s">
        <v>261</v>
      </c>
      <c r="U3" t="s">
        <v>54</v>
      </c>
      <c r="V3" s="28" t="s">
        <v>73</v>
      </c>
      <c r="W3" t="s">
        <v>261</v>
      </c>
      <c r="X3" t="s">
        <v>54</v>
      </c>
      <c r="Y3" s="28" t="s">
        <v>73</v>
      </c>
      <c r="Z3" t="s">
        <v>261</v>
      </c>
      <c r="AA3" t="s">
        <v>54</v>
      </c>
      <c r="AB3" s="28" t="s">
        <v>73</v>
      </c>
      <c r="AC3" t="s">
        <v>261</v>
      </c>
      <c r="AD3" t="s">
        <v>54</v>
      </c>
      <c r="AE3" s="28" t="s">
        <v>73</v>
      </c>
      <c r="AF3" t="s">
        <v>261</v>
      </c>
      <c r="AG3" t="s">
        <v>54</v>
      </c>
      <c r="AH3" s="28" t="s">
        <v>73</v>
      </c>
      <c r="AI3" t="s">
        <v>261</v>
      </c>
      <c r="AJ3" t="s">
        <v>54</v>
      </c>
      <c r="AK3" s="28" t="s">
        <v>73</v>
      </c>
    </row>
    <row r="5" spans="1:37">
      <c r="A5" s="7" t="s">
        <v>262</v>
      </c>
      <c r="B5">
        <v>0</v>
      </c>
      <c r="C5" s="44">
        <f t="shared" ref="C5:C12" si="0">+B5/$B$14*100</f>
        <v>0</v>
      </c>
      <c r="D5" s="13">
        <f>((C5*$A$25)+(C6*$A$26)+(C7*$A$27)+(C8*$A$28)+(C9*$A$29)+(C10*$A$30)+(C11*$A$31)+(C12*$A$32))/100</f>
        <v>0.75914059182683902</v>
      </c>
      <c r="E5">
        <v>0</v>
      </c>
      <c r="F5" s="44">
        <f t="shared" ref="F5:F12" si="1">+E5/$E$14*100</f>
        <v>0</v>
      </c>
      <c r="G5" s="13">
        <f>((F5*$A$25)+(F6*$A$26)+(F7*$A$27)+(F8*$A$28)+(F9*$A$29)+(F10*$A$30)+(F11*$A$31)+(F12*$A$32))/100</f>
        <v>0.59917001435654971</v>
      </c>
      <c r="H5">
        <v>0</v>
      </c>
      <c r="I5" s="44">
        <f t="shared" ref="I5:I12" si="2">+H5/$H$14*100</f>
        <v>0</v>
      </c>
      <c r="J5" s="13">
        <f>((I5*$A$25)+(I6*$A$26)+(I7*$A$27)+(I8*$A$28)+(I9*$A$29)+(I10*$A$30)+(I11*$A$31)+(I12*$A$32))/100</f>
        <v>1.3686478163549431</v>
      </c>
      <c r="K5">
        <v>4376</v>
      </c>
      <c r="L5" s="44">
        <f t="shared" ref="L5:L12" si="3">+K5/$K$14*100</f>
        <v>4.3868794610634376</v>
      </c>
      <c r="M5" s="13">
        <f>((L5*$A$25)+(L6*$A$26)+(L7*$A$27)+(L8*$A$28)+(L9*$A$29)+(L10*$A$30)+(L11*$A$31)+(L12*$A$32))/100</f>
        <v>1.1156838112530407</v>
      </c>
      <c r="N5">
        <v>0</v>
      </c>
      <c r="O5" s="44">
        <f t="shared" ref="O5:O12" si="4">+N5/$N$14*100</f>
        <v>0</v>
      </c>
      <c r="P5" s="13">
        <f>((O5*$A$25)+(O6*$A$26)+(O7*$A$27)+(O8*$A$28)+(O9*$A$29)+(O10*$A$30)+(O11*$A$31)+(O12*$A$32))/100</f>
        <v>0.61646105558895725</v>
      </c>
      <c r="Q5">
        <v>0</v>
      </c>
      <c r="R5" s="44">
        <f t="shared" ref="R5:R12" si="5">+Q5/$Q$14*100</f>
        <v>0</v>
      </c>
      <c r="S5" s="13">
        <f>((R5*$A$25)+(R6*$A$26)+(R7*$A$27)+(R8*$A$28)+(R9*$A$29)+(R10*$A$30)+(R11*$A$31)+(R12*$A$32))/100</f>
        <v>0.58491856587296209</v>
      </c>
      <c r="T5">
        <v>6667</v>
      </c>
      <c r="U5" s="44">
        <f t="shared" ref="U5:U12" si="6">+T5/$T$14*100</f>
        <v>6.6359437830951151</v>
      </c>
      <c r="V5" s="13">
        <f>((U5*$A$25)+(U6*$A$26)+(U7*$A$27)+(U8*$A$28)+(U9*$A$29)+(U10*$A$30)+(U11*$A$31)+(U12*$A$32))/100</f>
        <v>1.4423792607100103</v>
      </c>
      <c r="W5">
        <v>0</v>
      </c>
      <c r="X5" s="44">
        <f t="shared" ref="X5:X12" si="7">+W5/$W$14*100</f>
        <v>0</v>
      </c>
      <c r="Y5" s="13">
        <f>((X5*$A$25)+(X6*$A$26)+(X7*$A$27)+(X8*$A$28)+(X9*$A$29)+(X10*$A$30)+(X11*$A$31)+(X12*$A$32))/100</f>
        <v>0.82797418603264428</v>
      </c>
      <c r="Z5">
        <v>0</v>
      </c>
      <c r="AA5" s="44">
        <f t="shared" ref="AA5:AA12" si="8">+Z5/$Z$14*100</f>
        <v>0</v>
      </c>
      <c r="AB5" s="13">
        <f>((AA5*$A$25)+(AA6*$A$26)+(AA7*$A$27)+(AA8*$A$28)+(AA9*$A$29)+(AA10*$A$30)+(AA11*$A$31)+(AA12*$A$32))/100</f>
        <v>0.80151369358396618</v>
      </c>
      <c r="AC5">
        <v>6122</v>
      </c>
      <c r="AD5" s="44">
        <f t="shared" ref="AD5:AD12" si="9">+AC5/$AC$14*100</f>
        <v>6.1212654481462225</v>
      </c>
      <c r="AE5" s="13">
        <f>((AD5*$A$25)+(AD6*$A$26)+(AD7*$A$27)+(AD8*$A$28)+(AD9*$A$29)+(AD10*$A$30)+(AD11*$A$31)+(AD12*$A$32))/100</f>
        <v>1.7680909891405028</v>
      </c>
      <c r="AF5">
        <v>0</v>
      </c>
      <c r="AG5" s="44">
        <f t="shared" ref="AG5:AG12" si="10">+AF5/$AF$14*100</f>
        <v>0</v>
      </c>
      <c r="AH5" s="13">
        <f>((AG5*$A$25)+(AG6*$A$26)+(AG7*$A$27)+(AG8*$A$28)+(AG9*$A$29)+(AG10*$A$30)+(AG11*$A$31)+(AG12*$A$32))/100</f>
        <v>0.66116864712187295</v>
      </c>
      <c r="AI5">
        <v>0</v>
      </c>
      <c r="AJ5" s="44">
        <f t="shared" ref="AJ5:AJ12" si="11">AI5/$AI$14*100</f>
        <v>0</v>
      </c>
      <c r="AK5" s="13">
        <f>((AJ5*$A$25)+(AJ6*$A$26)+(AJ7*$A$27)+(AJ8*$A$28)+(AJ9*$A$29)+(AJ10*$A$30)+(AJ11*$A$31)+(AJ12*$A$32))/100</f>
        <v>0.42011966339245665</v>
      </c>
    </row>
    <row r="6" spans="1:37">
      <c r="A6" s="7" t="s">
        <v>263</v>
      </c>
      <c r="B6">
        <v>0</v>
      </c>
      <c r="C6" s="44">
        <f t="shared" si="0"/>
        <v>0</v>
      </c>
      <c r="E6">
        <v>1320</v>
      </c>
      <c r="F6" s="44">
        <f t="shared" si="1"/>
        <v>1.3157763578911694</v>
      </c>
      <c r="H6">
        <v>10351</v>
      </c>
      <c r="I6" s="44">
        <f t="shared" si="2"/>
        <v>10.437632348492487</v>
      </c>
      <c r="K6">
        <v>14196</v>
      </c>
      <c r="L6" s="44">
        <f t="shared" si="3"/>
        <v>14.231293608148206</v>
      </c>
      <c r="N6">
        <v>0</v>
      </c>
      <c r="O6" s="44">
        <f t="shared" si="4"/>
        <v>0</v>
      </c>
      <c r="Q6">
        <v>1046</v>
      </c>
      <c r="R6" s="44">
        <f t="shared" si="5"/>
        <v>1.0465023211141349</v>
      </c>
      <c r="T6">
        <v>22161</v>
      </c>
      <c r="U6" s="44">
        <f t="shared" si="6"/>
        <v>22.05776963809372</v>
      </c>
      <c r="W6">
        <v>5512</v>
      </c>
      <c r="X6" s="44">
        <f t="shared" si="7"/>
        <v>5.5226033985251686</v>
      </c>
      <c r="Z6">
        <v>2815</v>
      </c>
      <c r="AA6" s="44">
        <f t="shared" si="8"/>
        <v>2.825822901713563</v>
      </c>
      <c r="AC6">
        <v>36817</v>
      </c>
      <c r="AD6" s="44">
        <f t="shared" si="9"/>
        <v>36.812582490101185</v>
      </c>
      <c r="AF6">
        <v>3774</v>
      </c>
      <c r="AG6" s="44">
        <f t="shared" si="10"/>
        <v>3.7680464865512491</v>
      </c>
      <c r="AI6">
        <v>0</v>
      </c>
      <c r="AJ6" s="44">
        <f t="shared" si="11"/>
        <v>0</v>
      </c>
    </row>
    <row r="7" spans="1:37">
      <c r="A7" s="7" t="s">
        <v>264</v>
      </c>
      <c r="B7">
        <v>5356</v>
      </c>
      <c r="C7" s="44">
        <f t="shared" si="0"/>
        <v>5.3502217604986617</v>
      </c>
      <c r="E7">
        <v>7500</v>
      </c>
      <c r="F7" s="44">
        <f t="shared" si="1"/>
        <v>7.4760020334725539</v>
      </c>
      <c r="H7">
        <f>66157-H6</f>
        <v>55806</v>
      </c>
      <c r="I7" s="44">
        <f t="shared" si="2"/>
        <v>56.273066451547848</v>
      </c>
      <c r="K7">
        <v>14351</v>
      </c>
      <c r="L7" s="44">
        <f t="shared" si="3"/>
        <v>14.386678963830299</v>
      </c>
      <c r="N7">
        <v>1745</v>
      </c>
      <c r="O7" s="44">
        <f t="shared" si="4"/>
        <v>1.7429433268742884</v>
      </c>
      <c r="Q7">
        <v>4600</v>
      </c>
      <c r="R7" s="44">
        <f t="shared" si="5"/>
        <v>4.6022090603489678</v>
      </c>
      <c r="T7">
        <v>20033</v>
      </c>
      <c r="U7" s="44">
        <f t="shared" si="6"/>
        <v>19.93968228689732</v>
      </c>
      <c r="W7">
        <v>16449</v>
      </c>
      <c r="X7" s="44">
        <f t="shared" si="7"/>
        <v>16.480642834241742</v>
      </c>
      <c r="Z7">
        <v>16686</v>
      </c>
      <c r="AA7" s="44">
        <f t="shared" si="8"/>
        <v>16.750153086320609</v>
      </c>
      <c r="AC7">
        <v>25987</v>
      </c>
      <c r="AD7" s="44">
        <f t="shared" si="9"/>
        <v>25.983881934167901</v>
      </c>
      <c r="AF7">
        <v>11538</v>
      </c>
      <c r="AG7" s="44">
        <f t="shared" si="10"/>
        <v>11.51979871802552</v>
      </c>
      <c r="AI7">
        <v>963</v>
      </c>
      <c r="AJ7" s="44">
        <f t="shared" si="11"/>
        <v>0.95534766520173409</v>
      </c>
    </row>
    <row r="8" spans="1:37">
      <c r="A8" s="7" t="s">
        <v>265</v>
      </c>
      <c r="B8">
        <v>29047</v>
      </c>
      <c r="C8" s="44">
        <f t="shared" si="0"/>
        <v>29.01566308386942</v>
      </c>
      <c r="E8">
        <v>15710</v>
      </c>
      <c r="F8" s="44">
        <f t="shared" si="1"/>
        <v>15.659732259447173</v>
      </c>
      <c r="H8">
        <v>23524</v>
      </c>
      <c r="I8" s="44">
        <f t="shared" si="2"/>
        <v>23.720883331652718</v>
      </c>
      <c r="K8">
        <v>15791</v>
      </c>
      <c r="L8" s="44">
        <f t="shared" si="3"/>
        <v>15.830259042425215</v>
      </c>
      <c r="N8">
        <v>10115</v>
      </c>
      <c r="O8" s="44">
        <f t="shared" si="4"/>
        <v>10.103078367526319</v>
      </c>
      <c r="Q8">
        <v>10785</v>
      </c>
      <c r="R8" s="44">
        <f t="shared" si="5"/>
        <v>10.790179286057308</v>
      </c>
      <c r="T8">
        <v>19037</v>
      </c>
      <c r="U8" s="44">
        <f t="shared" si="6"/>
        <v>18.948321853724572</v>
      </c>
      <c r="W8">
        <v>20603</v>
      </c>
      <c r="X8" s="44">
        <f t="shared" si="7"/>
        <v>20.642633857005453</v>
      </c>
      <c r="Z8">
        <v>20958</v>
      </c>
      <c r="AA8" s="44">
        <f t="shared" si="8"/>
        <v>21.038577752793199</v>
      </c>
      <c r="AC8">
        <v>21719</v>
      </c>
      <c r="AD8" s="44">
        <f t="shared" si="9"/>
        <v>21.716394032716074</v>
      </c>
      <c r="AF8">
        <v>15212</v>
      </c>
      <c r="AG8" s="44">
        <f t="shared" si="10"/>
        <v>15.188002955330578</v>
      </c>
      <c r="AI8">
        <v>5411</v>
      </c>
      <c r="AJ8" s="44">
        <f t="shared" si="11"/>
        <v>5.3680023015644691</v>
      </c>
    </row>
    <row r="9" spans="1:37">
      <c r="A9" s="7" t="s">
        <v>266</v>
      </c>
      <c r="B9">
        <v>60457</v>
      </c>
      <c r="C9" s="44">
        <f t="shared" si="0"/>
        <v>60.39177688096855</v>
      </c>
      <c r="E9">
        <v>27337</v>
      </c>
      <c r="F9" s="44">
        <f t="shared" si="1"/>
        <v>27.249529011871893</v>
      </c>
      <c r="H9">
        <v>8464</v>
      </c>
      <c r="I9" s="44">
        <f t="shared" si="2"/>
        <v>8.5348391650700819</v>
      </c>
      <c r="K9">
        <v>26322</v>
      </c>
      <c r="L9" s="44">
        <f t="shared" si="3"/>
        <v>26.387440853316225</v>
      </c>
      <c r="N9">
        <v>69333</v>
      </c>
      <c r="O9" s="44">
        <f t="shared" si="4"/>
        <v>69.251283485487122</v>
      </c>
      <c r="Q9">
        <v>39742</v>
      </c>
      <c r="R9" s="44">
        <f t="shared" si="5"/>
        <v>39.761085320954059</v>
      </c>
      <c r="T9">
        <v>25473</v>
      </c>
      <c r="U9" s="44">
        <f t="shared" si="6"/>
        <v>25.354341680933235</v>
      </c>
      <c r="W9">
        <v>25253</v>
      </c>
      <c r="X9" s="44">
        <f t="shared" si="7"/>
        <v>25.301579031740946</v>
      </c>
      <c r="Z9">
        <v>28886</v>
      </c>
      <c r="AA9" s="44">
        <f t="shared" si="8"/>
        <v>28.997058734954877</v>
      </c>
      <c r="AC9">
        <v>9367</v>
      </c>
      <c r="AD9" s="44">
        <f t="shared" si="9"/>
        <v>9.3658760948686144</v>
      </c>
      <c r="AF9">
        <v>21830</v>
      </c>
      <c r="AG9" s="44">
        <f t="shared" si="10"/>
        <v>21.795563010443502</v>
      </c>
      <c r="AI9">
        <v>29781</v>
      </c>
      <c r="AJ9" s="44">
        <f t="shared" si="11"/>
        <v>29.544349758434933</v>
      </c>
    </row>
    <row r="10" spans="1:37">
      <c r="A10" s="7" t="s">
        <v>267</v>
      </c>
      <c r="B10">
        <v>5248</v>
      </c>
      <c r="C10" s="44">
        <f t="shared" si="0"/>
        <v>5.2423382746633633</v>
      </c>
      <c r="E10">
        <v>33338</v>
      </c>
      <c r="F10" s="44">
        <f t="shared" si="1"/>
        <v>33.231327438921063</v>
      </c>
      <c r="H10">
        <v>1025</v>
      </c>
      <c r="I10" s="44">
        <f t="shared" si="2"/>
        <v>1.033578703236866</v>
      </c>
      <c r="K10">
        <v>21261</v>
      </c>
      <c r="L10" s="44">
        <f t="shared" si="3"/>
        <v>21.313858368754513</v>
      </c>
      <c r="N10">
        <v>18925</v>
      </c>
      <c r="O10" s="44">
        <f t="shared" si="4"/>
        <v>18.902694820112266</v>
      </c>
      <c r="Q10">
        <v>40918</v>
      </c>
      <c r="R10" s="44">
        <f t="shared" si="5"/>
        <v>40.937650072034579</v>
      </c>
      <c r="T10">
        <v>7097</v>
      </c>
      <c r="U10" s="44">
        <f t="shared" si="6"/>
        <v>7.0639407572560415</v>
      </c>
      <c r="W10">
        <v>23936</v>
      </c>
      <c r="X10" s="44">
        <f t="shared" si="7"/>
        <v>23.98204552741263</v>
      </c>
      <c r="Z10">
        <v>29697</v>
      </c>
      <c r="AA10" s="44">
        <f t="shared" si="8"/>
        <v>29.811176807171471</v>
      </c>
      <c r="AC10">
        <v>0</v>
      </c>
      <c r="AD10" s="44">
        <f t="shared" si="9"/>
        <v>0</v>
      </c>
      <c r="AF10">
        <v>24842</v>
      </c>
      <c r="AG10" s="44">
        <f t="shared" si="10"/>
        <v>24.802811557738771</v>
      </c>
      <c r="AI10">
        <v>40937</v>
      </c>
      <c r="AJ10" s="44">
        <f t="shared" si="11"/>
        <v>40.611700280751187</v>
      </c>
    </row>
    <row r="11" spans="1:37">
      <c r="A11" s="7" t="s">
        <v>268</v>
      </c>
      <c r="B11">
        <v>0</v>
      </c>
      <c r="C11" s="44">
        <f t="shared" si="0"/>
        <v>0</v>
      </c>
      <c r="E11">
        <v>13767</v>
      </c>
      <c r="F11" s="44">
        <f t="shared" si="1"/>
        <v>13.722949332642218</v>
      </c>
      <c r="H11">
        <v>0</v>
      </c>
      <c r="I11" s="44">
        <f t="shared" si="2"/>
        <v>0</v>
      </c>
      <c r="K11">
        <v>3455</v>
      </c>
      <c r="L11" s="44">
        <f t="shared" si="3"/>
        <v>3.4635897024621061</v>
      </c>
      <c r="N11">
        <v>0</v>
      </c>
      <c r="O11" s="44">
        <f t="shared" si="4"/>
        <v>0</v>
      </c>
      <c r="Q11">
        <v>2861</v>
      </c>
      <c r="R11" s="44">
        <f t="shared" si="5"/>
        <v>2.8623739394909555</v>
      </c>
      <c r="T11">
        <v>0</v>
      </c>
      <c r="U11" s="44">
        <f t="shared" si="6"/>
        <v>0</v>
      </c>
      <c r="W11">
        <v>7546</v>
      </c>
      <c r="X11" s="44">
        <f t="shared" si="7"/>
        <v>7.5605161910868874</v>
      </c>
      <c r="Z11">
        <v>575</v>
      </c>
      <c r="AA11" s="44">
        <f t="shared" si="8"/>
        <v>0.57721071704628724</v>
      </c>
      <c r="AC11">
        <v>0</v>
      </c>
      <c r="AD11" s="44">
        <f t="shared" si="9"/>
        <v>0</v>
      </c>
      <c r="AF11">
        <v>17379</v>
      </c>
      <c r="AG11" s="44">
        <f t="shared" si="10"/>
        <v>17.351584496495537</v>
      </c>
      <c r="AI11">
        <v>20198</v>
      </c>
      <c r="AJ11" s="44">
        <f t="shared" si="11"/>
        <v>20.037499627979884</v>
      </c>
    </row>
    <row r="12" spans="1:37">
      <c r="A12" s="7" t="s">
        <v>269</v>
      </c>
      <c r="B12">
        <v>0</v>
      </c>
      <c r="C12" s="44">
        <f t="shared" si="0"/>
        <v>0</v>
      </c>
      <c r="E12">
        <v>1349</v>
      </c>
      <c r="F12" s="44">
        <f t="shared" si="1"/>
        <v>1.3446835657539298</v>
      </c>
      <c r="H12">
        <v>0</v>
      </c>
      <c r="I12" s="44">
        <f t="shared" si="2"/>
        <v>0</v>
      </c>
      <c r="L12" s="44">
        <f t="shared" si="3"/>
        <v>0</v>
      </c>
      <c r="N12">
        <v>0</v>
      </c>
      <c r="O12" s="44">
        <f t="shared" si="4"/>
        <v>0</v>
      </c>
      <c r="Q12">
        <v>0</v>
      </c>
      <c r="R12" s="44">
        <f t="shared" si="5"/>
        <v>0</v>
      </c>
      <c r="T12">
        <v>0</v>
      </c>
      <c r="U12" s="44">
        <f t="shared" si="6"/>
        <v>0</v>
      </c>
      <c r="W12">
        <v>509</v>
      </c>
      <c r="X12" s="44">
        <f t="shared" si="7"/>
        <v>0.50997915998717536</v>
      </c>
      <c r="Z12">
        <v>0</v>
      </c>
      <c r="AA12" s="44">
        <f t="shared" si="8"/>
        <v>0</v>
      </c>
      <c r="AC12">
        <v>0</v>
      </c>
      <c r="AD12" s="44">
        <f t="shared" si="9"/>
        <v>0</v>
      </c>
      <c r="AF12">
        <v>5583</v>
      </c>
      <c r="AG12" s="44">
        <f t="shared" si="10"/>
        <v>5.5741927754148453</v>
      </c>
      <c r="AI12">
        <v>3511</v>
      </c>
      <c r="AJ12" s="44">
        <f t="shared" si="11"/>
        <v>3.4831003660677968</v>
      </c>
    </row>
    <row r="14" spans="1:37">
      <c r="B14">
        <f>SUM(B7:B10)</f>
        <v>100108</v>
      </c>
      <c r="C14">
        <f>SUM(C7:C10)</f>
        <v>100</v>
      </c>
      <c r="E14">
        <f>SUM(E6:E12)</f>
        <v>100321</v>
      </c>
      <c r="F14">
        <f>SUM(F6:F12)</f>
        <v>100</v>
      </c>
      <c r="H14">
        <f>SUM(H6:H12)</f>
        <v>99170</v>
      </c>
      <c r="I14">
        <f>SUM(I6:I12)</f>
        <v>100</v>
      </c>
      <c r="K14">
        <f>SUM(K5:K12)</f>
        <v>99752</v>
      </c>
      <c r="L14">
        <f>SUM(L5:L12)</f>
        <v>99.999999999999986</v>
      </c>
      <c r="N14">
        <f>SUM(N5:N12)</f>
        <v>100118</v>
      </c>
      <c r="O14">
        <f>SUM(O5:O12)</f>
        <v>100</v>
      </c>
      <c r="Q14">
        <f>SUM(Q5:Q12)</f>
        <v>99952</v>
      </c>
      <c r="R14">
        <f>SUM(R5:R12)</f>
        <v>100</v>
      </c>
      <c r="T14">
        <f>SUM(T5:T12)</f>
        <v>100468</v>
      </c>
      <c r="U14">
        <f>SUM(U5:U12)</f>
        <v>100</v>
      </c>
      <c r="W14">
        <f>SUM(W5:W12)</f>
        <v>99808</v>
      </c>
      <c r="X14">
        <f>SUM(X5:X12)</f>
        <v>100</v>
      </c>
      <c r="Z14">
        <f>SUM(Z5:Z12)</f>
        <v>99617</v>
      </c>
      <c r="AA14">
        <f>SUM(AA5:AA12)</f>
        <v>100</v>
      </c>
      <c r="AC14">
        <f>SUM(AC5:AC12)</f>
        <v>100012</v>
      </c>
      <c r="AD14">
        <f>SUM(AD5:AD12)</f>
        <v>100</v>
      </c>
      <c r="AF14">
        <f>SUM(AF5:AF12)</f>
        <v>100158</v>
      </c>
      <c r="AG14">
        <f>SUM(AG5:AG12)</f>
        <v>99.999999999999986</v>
      </c>
      <c r="AI14">
        <f>SUM(AI5:AI12)</f>
        <v>100801</v>
      </c>
      <c r="AJ14">
        <f>SUM(AJ5:AJ12)</f>
        <v>100.00000000000001</v>
      </c>
    </row>
    <row r="16" spans="1:37">
      <c r="A16" s="7" t="s">
        <v>270</v>
      </c>
      <c r="B16">
        <v>99301</v>
      </c>
      <c r="E16">
        <v>99301</v>
      </c>
      <c r="H16">
        <v>98802</v>
      </c>
      <c r="K16">
        <v>99301</v>
      </c>
      <c r="N16">
        <v>99301</v>
      </c>
      <c r="Q16">
        <v>99301</v>
      </c>
      <c r="T16">
        <v>99301</v>
      </c>
      <c r="W16">
        <v>99301</v>
      </c>
      <c r="Z16">
        <v>99301</v>
      </c>
      <c r="AC16">
        <v>99301</v>
      </c>
      <c r="AF16">
        <v>99301</v>
      </c>
      <c r="AI16">
        <v>99301</v>
      </c>
    </row>
    <row r="18" spans="1:96">
      <c r="A18" s="7" t="s">
        <v>271</v>
      </c>
      <c r="B18" s="50">
        <f>((B14/B16)-1)</f>
        <v>8.1268063765722598E-3</v>
      </c>
      <c r="E18" s="50">
        <f>((E14/E16)-1)</f>
        <v>1.0271799881169441E-2</v>
      </c>
      <c r="H18" s="50">
        <f>((H14/H16)-1)</f>
        <v>3.7246209590899859E-3</v>
      </c>
      <c r="K18" s="50">
        <f>((K14/K16)-1)</f>
        <v>4.541746810203362E-3</v>
      </c>
      <c r="N18" s="50">
        <f>((N14/N16)-1)</f>
        <v>8.2275102969757707E-3</v>
      </c>
      <c r="Q18" s="50">
        <f>((Q14/Q16)-1)</f>
        <v>6.5558252182758014E-3</v>
      </c>
      <c r="T18" s="50">
        <f>((T14/T16)-1)</f>
        <v>1.1752147511102651E-2</v>
      </c>
      <c r="W18" s="50">
        <f>((W14/W16)-1)</f>
        <v>5.1056887644636006E-3</v>
      </c>
      <c r="Z18" s="50">
        <f>((Z14/Z16)-1)</f>
        <v>3.1822438847544099E-3</v>
      </c>
      <c r="AC18" s="50">
        <f>((AC14/AC16)-1)</f>
        <v>7.1600487406975333E-3</v>
      </c>
      <c r="AF18" s="50">
        <f>((AF14/AF16)-1)</f>
        <v>8.6303259785902586E-3</v>
      </c>
      <c r="AI18" s="50">
        <f>((AI14/AI16)-1)</f>
        <v>1.5105588060543296E-2</v>
      </c>
    </row>
    <row r="21" spans="1:96">
      <c r="A21" s="28" t="s">
        <v>272</v>
      </c>
      <c r="B21" s="28">
        <v>10</v>
      </c>
      <c r="J21" s="7"/>
      <c r="K21" s="7" t="s">
        <v>188</v>
      </c>
      <c r="L21" s="7"/>
      <c r="M21" s="7"/>
      <c r="N21" s="7" t="s">
        <v>189</v>
      </c>
      <c r="O21" s="7"/>
      <c r="P21" s="7"/>
      <c r="Q21" s="7" t="s">
        <v>190</v>
      </c>
      <c r="R21" s="7"/>
      <c r="S21" s="7"/>
      <c r="T21" s="7" t="s">
        <v>191</v>
      </c>
      <c r="U21" s="7"/>
      <c r="V21" s="7"/>
      <c r="W21" s="7" t="s">
        <v>106</v>
      </c>
      <c r="X21" s="7"/>
      <c r="Y21" s="7"/>
      <c r="Z21" s="7" t="s">
        <v>108</v>
      </c>
      <c r="AA21" s="7"/>
      <c r="AB21" s="7"/>
      <c r="AC21" s="7" t="s">
        <v>192</v>
      </c>
      <c r="AD21" s="7"/>
      <c r="AE21" s="7"/>
      <c r="AF21" s="7" t="s">
        <v>88</v>
      </c>
      <c r="AG21" s="7"/>
      <c r="AH21" s="7"/>
      <c r="AI21" s="7" t="s">
        <v>193</v>
      </c>
      <c r="AJ21" s="7"/>
      <c r="AK21" s="7"/>
    </row>
    <row r="22" spans="1:96">
      <c r="M22" s="28" t="s">
        <v>149</v>
      </c>
      <c r="P22" s="28" t="s">
        <v>149</v>
      </c>
      <c r="S22" s="28" t="s">
        <v>149</v>
      </c>
      <c r="V22" s="28" t="s">
        <v>149</v>
      </c>
      <c r="Y22" s="28" t="s">
        <v>149</v>
      </c>
      <c r="AB22" s="28" t="s">
        <v>149</v>
      </c>
      <c r="AE22" s="28" t="s">
        <v>149</v>
      </c>
      <c r="AH22" s="28" t="s">
        <v>149</v>
      </c>
      <c r="AK22" s="28" t="s">
        <v>149</v>
      </c>
    </row>
    <row r="23" spans="1:96">
      <c r="A23" s="7" t="s">
        <v>273</v>
      </c>
      <c r="B23" s="7"/>
      <c r="C23" s="7" t="s">
        <v>274</v>
      </c>
      <c r="E23" s="35" t="s">
        <v>275</v>
      </c>
      <c r="F23" s="35">
        <v>3.1</v>
      </c>
      <c r="J23" s="7" t="s">
        <v>260</v>
      </c>
      <c r="K23" t="s">
        <v>261</v>
      </c>
      <c r="L23" t="s">
        <v>54</v>
      </c>
      <c r="M23" s="28" t="s">
        <v>73</v>
      </c>
      <c r="N23" t="s">
        <v>261</v>
      </c>
      <c r="O23" t="s">
        <v>54</v>
      </c>
      <c r="P23" s="28" t="s">
        <v>73</v>
      </c>
      <c r="Q23" t="s">
        <v>261</v>
      </c>
      <c r="R23" t="s">
        <v>54</v>
      </c>
      <c r="S23" s="28" t="s">
        <v>73</v>
      </c>
      <c r="T23" t="s">
        <v>261</v>
      </c>
      <c r="U23" t="s">
        <v>54</v>
      </c>
      <c r="V23" s="28" t="s">
        <v>73</v>
      </c>
      <c r="W23" t="s">
        <v>261</v>
      </c>
      <c r="X23" t="s">
        <v>54</v>
      </c>
      <c r="Y23" s="28" t="s">
        <v>73</v>
      </c>
      <c r="Z23" t="s">
        <v>261</v>
      </c>
      <c r="AA23" t="s">
        <v>54</v>
      </c>
      <c r="AB23" s="28" t="s">
        <v>73</v>
      </c>
      <c r="AC23" t="s">
        <v>261</v>
      </c>
      <c r="AD23" t="s">
        <v>54</v>
      </c>
      <c r="AE23" s="28" t="s">
        <v>73</v>
      </c>
      <c r="AF23" t="s">
        <v>261</v>
      </c>
      <c r="AG23" t="s">
        <v>54</v>
      </c>
      <c r="AH23" s="28" t="s">
        <v>73</v>
      </c>
      <c r="AI23" t="s">
        <v>261</v>
      </c>
      <c r="AJ23" t="s">
        <v>54</v>
      </c>
      <c r="AK23" s="28" t="s">
        <v>73</v>
      </c>
    </row>
    <row r="24" spans="1:96">
      <c r="E24" s="35" t="s">
        <v>276</v>
      </c>
      <c r="F24" s="35">
        <v>1.3</v>
      </c>
    </row>
    <row r="25" spans="1:96">
      <c r="A25" s="13">
        <f t="shared" ref="A25:A32" si="12">2^((C25-$C$28)*5/9/$B$21)</f>
        <v>3.8488953475765801</v>
      </c>
      <c r="B25" s="28"/>
      <c r="C25" s="13">
        <v>105</v>
      </c>
      <c r="E25" s="35" t="s">
        <v>277</v>
      </c>
      <c r="F25" s="35">
        <v>0.95</v>
      </c>
      <c r="J25" s="7" t="s">
        <v>262</v>
      </c>
      <c r="K25">
        <v>0</v>
      </c>
      <c r="L25" s="44">
        <f t="shared" ref="L25:L32" si="13">+K25/$K$34*100</f>
        <v>0</v>
      </c>
      <c r="M25" s="13">
        <f>((L25*$A$25)+(L26*$A$26)+(L27*$A$27)+(L28*$A$28)+(L29*$A$29)+(L30*$A$30)+(L31*$A$31)+(L32*$A$32))/100</f>
        <v>0.5932231435942471</v>
      </c>
      <c r="N25">
        <v>0</v>
      </c>
      <c r="O25" s="44">
        <f t="shared" ref="O25:O32" si="14">+N25/$N$34*100</f>
        <v>0</v>
      </c>
      <c r="P25" s="13">
        <f>((O25*$A$25)+(O26*$A$26)+(O27*$A$27)+(O28*$A$28)+(O29*$A$29)+(O30*$A$30)+(O31*$A$31)+(O32*$A$32))/100</f>
        <v>0.63609894174488324</v>
      </c>
      <c r="Q25">
        <v>0</v>
      </c>
      <c r="R25" s="44">
        <f t="shared" ref="R25:R32" si="15">+Q25/$Q$34*100</f>
        <v>0</v>
      </c>
      <c r="S25" s="13">
        <f>((R25*$A$25)+(R26*$A$26)+(R27*$A$27)+(R28*$A$28)+(R29*$A$29)+(R30*$A$30)+(R31*$A$31)+(R32*$A$32))/100</f>
        <v>0.94135819096055984</v>
      </c>
      <c r="T25">
        <v>0</v>
      </c>
      <c r="U25" s="44">
        <f>+T25/$T$34*100</f>
        <v>0</v>
      </c>
      <c r="V25" s="13">
        <f>((U25*$A$25)+(U26*$A$26)+(U27*$A$27)+(U28*$A$28)+(U29*$A$29)+(U30*$A$30)+(U31*$A$31)+(U32*$A$32))/100</f>
        <v>1.3619228368665275</v>
      </c>
      <c r="W25">
        <v>7998</v>
      </c>
      <c r="X25" s="44">
        <f t="shared" ref="X25:X32" si="16">W25/$W$34*100</f>
        <v>8.1852791878172582</v>
      </c>
      <c r="Y25" s="13">
        <f>((X25*$A$25)+(X26*$A$26)+(X27*$A$27)+(X28*$A$28)+(X29*$A$29)+(X30*$A$30)+(X31*$A$31)+(X32*$A$32))/100</f>
        <v>1.4739554053757069</v>
      </c>
      <c r="Z25">
        <v>0</v>
      </c>
      <c r="AA25" s="44">
        <f t="shared" ref="AA25:AA32" si="17">+Z25/$Z$34*100</f>
        <v>0</v>
      </c>
      <c r="AB25" s="13">
        <f>((AA25*$A$25)+(AA26*$A$26)+(AA27*$A$27)+(AA28*$A$28)+(AA29*$A$29)+(AA30*$A$30)+(AA31*$A$31)+(AA32*$A$32))/100</f>
        <v>0.69345121301617307</v>
      </c>
      <c r="AC25">
        <v>0</v>
      </c>
      <c r="AD25" s="44">
        <f t="shared" ref="AD25:AD32" si="18">AC25/$AC$34*100</f>
        <v>0</v>
      </c>
      <c r="AE25" s="13">
        <f>((AD25*$A$25)+(AD26*$A$26)+(AD27*$A$27)+(AD28*$A$28)+(AD29*$A$29)+(AD30*$A$30)+(AD31*$A$31)+(AD32*$A$32))/100</f>
        <v>0.81422227355784216</v>
      </c>
      <c r="AF25">
        <v>585</v>
      </c>
      <c r="AG25" s="44">
        <f t="shared" ref="AG25:AG32" si="19">+AF25/$AF$34*100</f>
        <v>0.59258508914100494</v>
      </c>
      <c r="AH25" s="13">
        <f>((AG25*$A$25)+(AG26*$A$26)+(AG27*$A$27)+(AG28*$A$28)+(AG29*$A$29)+(AG30*$A$30)+(AG31*$A$31)+(AG32*$A$32))/100</f>
        <v>1.0753402055209287</v>
      </c>
      <c r="AI25">
        <v>1209</v>
      </c>
      <c r="AJ25" s="44">
        <f t="shared" ref="AJ25:AJ32" si="20">+AI25/$AI$34*100</f>
        <v>1.2254951649198207</v>
      </c>
      <c r="AK25" s="13">
        <f>((AJ25*$A$25)+(AJ26*$A$26)+(AJ27*$A$27)+(AJ28*$A$28)+(AJ29*$A$29)+(AJ30*$A$30)+(AJ31*$A$31)+(AJ32*$A$32))/100</f>
        <v>1.0007769956879129</v>
      </c>
    </row>
    <row r="26" spans="1:96">
      <c r="A26" s="13">
        <f t="shared" si="12"/>
        <v>2.3784142300054421</v>
      </c>
      <c r="B26" s="28"/>
      <c r="C26" s="13">
        <v>92.5</v>
      </c>
      <c r="E26" s="35" t="s">
        <v>278</v>
      </c>
      <c r="F26" s="35">
        <v>9</v>
      </c>
      <c r="J26" s="7" t="s">
        <v>263</v>
      </c>
      <c r="K26">
        <v>2821</v>
      </c>
      <c r="L26" s="44">
        <f t="shared" si="13"/>
        <v>2.8118894780909853</v>
      </c>
      <c r="N26">
        <v>2172</v>
      </c>
      <c r="O26" s="44">
        <f t="shared" si="14"/>
        <v>2.1673185918416222</v>
      </c>
      <c r="Q26">
        <v>9053</v>
      </c>
      <c r="R26" s="44">
        <f t="shared" si="15"/>
        <v>9.0665090985568497</v>
      </c>
      <c r="T26">
        <v>0</v>
      </c>
      <c r="U26" s="44">
        <v>6.34</v>
      </c>
      <c r="W26">
        <v>22306</v>
      </c>
      <c r="X26" s="44">
        <f t="shared" si="16"/>
        <v>22.828311773374814</v>
      </c>
      <c r="Z26">
        <v>6528</v>
      </c>
      <c r="AA26" s="44">
        <f t="shared" si="17"/>
        <v>6.4830723088993274</v>
      </c>
      <c r="AC26">
        <v>1577</v>
      </c>
      <c r="AD26" s="44">
        <f t="shared" si="18"/>
        <v>1.5874773505133883</v>
      </c>
      <c r="AF26">
        <v>13374</v>
      </c>
      <c r="AG26" s="44">
        <f t="shared" si="19"/>
        <v>13.54740680713128</v>
      </c>
      <c r="AI26">
        <v>11111</v>
      </c>
      <c r="AJ26" s="44">
        <f t="shared" si="20"/>
        <v>11.262594522269751</v>
      </c>
    </row>
    <row r="27" spans="1:96">
      <c r="A27" s="13">
        <f t="shared" si="12"/>
        <v>1.4697344922755988</v>
      </c>
      <c r="B27" s="28"/>
      <c r="C27" s="13">
        <v>80</v>
      </c>
      <c r="J27" s="7" t="s">
        <v>264</v>
      </c>
      <c r="K27">
        <v>7789</v>
      </c>
      <c r="L27" s="44">
        <f t="shared" si="13"/>
        <v>7.7638451417407603</v>
      </c>
      <c r="N27">
        <v>10891</v>
      </c>
      <c r="O27" s="44">
        <f t="shared" si="14"/>
        <v>10.867526143529975</v>
      </c>
      <c r="Q27">
        <v>20778</v>
      </c>
      <c r="R27" s="44">
        <f t="shared" si="15"/>
        <v>20.809005418072928</v>
      </c>
      <c r="T27">
        <v>6305</v>
      </c>
      <c r="U27" s="44">
        <v>60.09</v>
      </c>
      <c r="W27">
        <v>17765</v>
      </c>
      <c r="X27" s="44">
        <f t="shared" si="16"/>
        <v>18.180980841657117</v>
      </c>
      <c r="Z27">
        <v>10027</v>
      </c>
      <c r="AA27" s="44">
        <f t="shared" si="17"/>
        <v>9.9579911215278116</v>
      </c>
      <c r="AC27">
        <v>9519</v>
      </c>
      <c r="AD27" s="44">
        <f t="shared" si="18"/>
        <v>9.5822428024964772</v>
      </c>
      <c r="AF27">
        <v>22272</v>
      </c>
      <c r="AG27" s="44">
        <f t="shared" si="19"/>
        <v>22.560777957860616</v>
      </c>
      <c r="AI27">
        <v>15745</v>
      </c>
      <c r="AJ27" s="44">
        <f t="shared" si="20"/>
        <v>15.959819165974009</v>
      </c>
      <c r="CP27" s="44"/>
      <c r="CQ27" s="44"/>
      <c r="CR27" s="44"/>
    </row>
    <row r="28" spans="1:96">
      <c r="A28" s="13">
        <f t="shared" si="12"/>
        <v>1</v>
      </c>
      <c r="B28" s="28"/>
      <c r="C28" s="13">
        <v>70</v>
      </c>
      <c r="E28" s="28" t="s">
        <v>279</v>
      </c>
      <c r="F28" s="13">
        <f>$C$43/$C$123</f>
        <v>2.6431374340581066</v>
      </c>
      <c r="J28" s="7" t="s">
        <v>265</v>
      </c>
      <c r="K28">
        <v>11926</v>
      </c>
      <c r="L28" s="44">
        <f t="shared" si="13"/>
        <v>11.887484550057813</v>
      </c>
      <c r="N28">
        <v>16356</v>
      </c>
      <c r="O28" s="44">
        <f t="shared" si="14"/>
        <v>16.320747186078073</v>
      </c>
      <c r="Q28">
        <v>19086</v>
      </c>
      <c r="R28" s="44">
        <f t="shared" si="15"/>
        <v>19.114480576058327</v>
      </c>
      <c r="T28">
        <f>66098-T27</f>
        <v>59793</v>
      </c>
      <c r="U28" s="44">
        <v>31.53</v>
      </c>
      <c r="W28">
        <v>15340</v>
      </c>
      <c r="X28" s="44">
        <f t="shared" si="16"/>
        <v>15.699197642050105</v>
      </c>
      <c r="Z28">
        <v>12343</v>
      </c>
      <c r="AA28" s="44">
        <f t="shared" si="17"/>
        <v>12.258051701707169</v>
      </c>
      <c r="AC28">
        <v>27094</v>
      </c>
      <c r="AD28" s="44">
        <f t="shared" si="18"/>
        <v>27.274008455808335</v>
      </c>
      <c r="AF28">
        <v>18692</v>
      </c>
      <c r="AG28" s="44">
        <f t="shared" si="19"/>
        <v>18.934359805510535</v>
      </c>
      <c r="AI28">
        <v>17716</v>
      </c>
      <c r="AJ28" s="44">
        <f t="shared" si="20"/>
        <v>17.957710787195655</v>
      </c>
      <c r="CP28" s="44"/>
    </row>
    <row r="29" spans="1:96">
      <c r="A29" s="13">
        <f t="shared" si="12"/>
        <v>0.61794723296464471</v>
      </c>
      <c r="B29" s="28"/>
      <c r="C29" s="13">
        <v>57.5</v>
      </c>
      <c r="E29" s="28" t="s">
        <v>280</v>
      </c>
      <c r="F29" s="13">
        <f>+$C$43/$C$117</f>
        <v>2.4599952768974784</v>
      </c>
      <c r="J29" s="7" t="s">
        <v>266</v>
      </c>
      <c r="K29">
        <v>25876</v>
      </c>
      <c r="L29" s="44">
        <f t="shared" si="13"/>
        <v>25.792432518639608</v>
      </c>
      <c r="N29">
        <v>22490</v>
      </c>
      <c r="O29" s="44">
        <f t="shared" si="14"/>
        <v>22.441526303185118</v>
      </c>
      <c r="Q29">
        <v>24142</v>
      </c>
      <c r="R29" s="44">
        <f t="shared" si="15"/>
        <v>24.178025257633877</v>
      </c>
      <c r="T29">
        <v>31372</v>
      </c>
      <c r="U29" s="44">
        <v>2.0499999999999998</v>
      </c>
      <c r="W29">
        <v>25836</v>
      </c>
      <c r="X29" s="44">
        <f t="shared" si="16"/>
        <v>26.440969379400688</v>
      </c>
      <c r="Z29">
        <v>22356</v>
      </c>
      <c r="AA29" s="44">
        <f t="shared" si="17"/>
        <v>22.20213917551369</v>
      </c>
      <c r="AC29">
        <v>55170</v>
      </c>
      <c r="AD29" s="44">
        <f t="shared" si="18"/>
        <v>55.536541171733447</v>
      </c>
      <c r="AF29">
        <v>23388</v>
      </c>
      <c r="AG29" s="44">
        <f t="shared" si="19"/>
        <v>23.691247974068073</v>
      </c>
      <c r="AI29">
        <v>32798</v>
      </c>
      <c r="AJ29" s="44">
        <f t="shared" si="20"/>
        <v>33.245484217568475</v>
      </c>
      <c r="CP29" s="44"/>
    </row>
    <row r="30" spans="1:96">
      <c r="A30" s="13">
        <f t="shared" si="12"/>
        <v>0.32734614379374338</v>
      </c>
      <c r="B30" s="28"/>
      <c r="C30" s="13">
        <v>41</v>
      </c>
      <c r="E30" s="28" t="s">
        <v>281</v>
      </c>
      <c r="F30" s="13">
        <f>$C$43</f>
        <v>1.8102617101532748</v>
      </c>
      <c r="J30" s="7" t="s">
        <v>267</v>
      </c>
      <c r="K30">
        <v>31035</v>
      </c>
      <c r="L30" s="44">
        <f t="shared" si="13"/>
        <v>30.934771340855626</v>
      </c>
      <c r="N30">
        <v>28140</v>
      </c>
      <c r="O30" s="44">
        <f t="shared" si="14"/>
        <v>28.079348607008857</v>
      </c>
      <c r="Q30">
        <v>21570</v>
      </c>
      <c r="R30" s="44">
        <f t="shared" si="15"/>
        <v>21.602187259015935</v>
      </c>
      <c r="T30">
        <v>2037</v>
      </c>
      <c r="U30" s="44">
        <v>0</v>
      </c>
      <c r="W30">
        <v>8467</v>
      </c>
      <c r="X30" s="44">
        <f t="shared" si="16"/>
        <v>8.6652611757000155</v>
      </c>
      <c r="Z30">
        <v>32566</v>
      </c>
      <c r="AA30" s="44">
        <f t="shared" si="17"/>
        <v>32.341870835112665</v>
      </c>
      <c r="AC30">
        <v>5980</v>
      </c>
      <c r="AD30" s="44">
        <f t="shared" si="18"/>
        <v>6.0197302194483591</v>
      </c>
      <c r="AF30">
        <v>17529</v>
      </c>
      <c r="AG30" s="44">
        <f t="shared" si="19"/>
        <v>17.756280388978933</v>
      </c>
      <c r="AI30">
        <v>19794</v>
      </c>
      <c r="AJ30" s="44">
        <f t="shared" si="20"/>
        <v>20.064062278265453</v>
      </c>
      <c r="CP30" s="44"/>
    </row>
    <row r="31" spans="1:96">
      <c r="A31" s="13">
        <f t="shared" si="12"/>
        <v>0.16685498177125435</v>
      </c>
      <c r="B31" s="28"/>
      <c r="C31" s="13">
        <v>23.5</v>
      </c>
      <c r="J31" s="7" t="s">
        <v>268</v>
      </c>
      <c r="K31">
        <v>17900</v>
      </c>
      <c r="L31" s="44">
        <f t="shared" si="13"/>
        <v>17.842191300187395</v>
      </c>
      <c r="N31">
        <v>16388</v>
      </c>
      <c r="O31" s="44">
        <f t="shared" si="14"/>
        <v>16.35267821505548</v>
      </c>
      <c r="Q31">
        <v>5059</v>
      </c>
      <c r="R31" s="44">
        <f t="shared" si="15"/>
        <v>5.0665491582457856</v>
      </c>
      <c r="T31">
        <v>0</v>
      </c>
      <c r="U31" s="44">
        <f>+T31/$T$34*100</f>
        <v>0</v>
      </c>
      <c r="W31">
        <v>0</v>
      </c>
      <c r="X31" s="44">
        <f t="shared" si="16"/>
        <v>0</v>
      </c>
      <c r="Z31">
        <v>15821</v>
      </c>
      <c r="AA31" s="44">
        <f t="shared" si="17"/>
        <v>15.712115042753716</v>
      </c>
      <c r="AC31">
        <v>0</v>
      </c>
      <c r="AD31" s="44">
        <f t="shared" si="18"/>
        <v>0</v>
      </c>
      <c r="AF31">
        <v>2880</v>
      </c>
      <c r="AG31" s="44">
        <f t="shared" si="19"/>
        <v>2.9173419773095626</v>
      </c>
      <c r="AI31">
        <v>281</v>
      </c>
      <c r="AJ31" s="44">
        <f t="shared" si="20"/>
        <v>0.28483386380684006</v>
      </c>
      <c r="CP31" s="44"/>
    </row>
    <row r="32" spans="1:96">
      <c r="A32" s="13">
        <f t="shared" si="12"/>
        <v>9.921256574801246E-2</v>
      </c>
      <c r="B32" s="28"/>
      <c r="C32" s="13">
        <v>10</v>
      </c>
      <c r="E32" s="13" t="s">
        <v>282</v>
      </c>
      <c r="F32" s="13">
        <f>AE25</f>
        <v>0.81422227355784216</v>
      </c>
      <c r="J32" s="7" t="s">
        <v>269</v>
      </c>
      <c r="K32">
        <v>2977</v>
      </c>
      <c r="L32" s="44">
        <f t="shared" si="13"/>
        <v>2.9673856704278139</v>
      </c>
      <c r="N32">
        <v>3779</v>
      </c>
      <c r="O32" s="44">
        <f t="shared" si="14"/>
        <v>3.7708549533008702</v>
      </c>
      <c r="Q32">
        <v>163</v>
      </c>
      <c r="R32" s="44">
        <f t="shared" si="15"/>
        <v>0.16324323241630029</v>
      </c>
      <c r="T32">
        <v>0</v>
      </c>
      <c r="U32" s="44">
        <f>+T32/$T$34*100</f>
        <v>0</v>
      </c>
      <c r="W32">
        <v>0</v>
      </c>
      <c r="X32" s="44">
        <f t="shared" si="16"/>
        <v>0</v>
      </c>
      <c r="Z32">
        <v>1052</v>
      </c>
      <c r="AA32" s="44">
        <f t="shared" si="17"/>
        <v>1.0447598144856147</v>
      </c>
      <c r="AC32">
        <v>0</v>
      </c>
      <c r="AD32" s="44">
        <f t="shared" si="18"/>
        <v>0</v>
      </c>
      <c r="AF32">
        <v>0</v>
      </c>
      <c r="AG32" s="44">
        <f t="shared" si="19"/>
        <v>0</v>
      </c>
      <c r="AI32">
        <v>0</v>
      </c>
      <c r="AJ32" s="44">
        <f t="shared" si="20"/>
        <v>0</v>
      </c>
      <c r="CP32" s="44"/>
    </row>
    <row r="33" spans="1:94">
      <c r="A33" s="44"/>
      <c r="C33" s="44"/>
      <c r="CP33" s="44"/>
    </row>
    <row r="34" spans="1:94">
      <c r="A34" s="44"/>
      <c r="C34" s="44"/>
      <c r="K34">
        <f>SUM(K25:K32)</f>
        <v>100324</v>
      </c>
      <c r="L34">
        <f>SUM(L25:L32)</f>
        <v>100</v>
      </c>
      <c r="N34">
        <f>SUM(N25:N32)</f>
        <v>100216</v>
      </c>
      <c r="O34">
        <f>SUM(O25:O32)</f>
        <v>99.999999999999986</v>
      </c>
      <c r="Q34">
        <f>SUM(Q25:Q32)</f>
        <v>99851</v>
      </c>
      <c r="R34">
        <f>SUM(R25:R32)</f>
        <v>100.00000000000001</v>
      </c>
      <c r="T34">
        <f>SUM(T25:T32)</f>
        <v>99507</v>
      </c>
      <c r="U34">
        <f>SUM(U25:U32)</f>
        <v>100.01</v>
      </c>
      <c r="W34">
        <f>SUM(W25:W32)</f>
        <v>97712</v>
      </c>
      <c r="X34">
        <f>SUM(X25:X32)</f>
        <v>99.999999999999986</v>
      </c>
      <c r="Z34">
        <f>SUM(Z25:Z32)</f>
        <v>100693</v>
      </c>
      <c r="AA34">
        <f>SUM(AA25:AA32)</f>
        <v>100</v>
      </c>
      <c r="AC34">
        <f>SUM(AC25:AC32)</f>
        <v>99340</v>
      </c>
      <c r="AD34">
        <f>SUM(AD25:AD32)</f>
        <v>100.00000000000001</v>
      </c>
      <c r="AF34">
        <f>SUM(AF25:AF32)</f>
        <v>98720</v>
      </c>
      <c r="AG34">
        <f>SUM(AG25:AG32)</f>
        <v>100.00000000000001</v>
      </c>
      <c r="AI34">
        <f>SUM(AI25:AI32)</f>
        <v>98654</v>
      </c>
      <c r="AJ34">
        <f>SUM(AJ25:AJ32)</f>
        <v>100</v>
      </c>
      <c r="CP34" s="44"/>
    </row>
    <row r="35" spans="1:94">
      <c r="C35" s="44"/>
    </row>
    <row r="36" spans="1:94">
      <c r="A36" s="44"/>
      <c r="C36" s="44"/>
      <c r="J36" s="7" t="s">
        <v>270</v>
      </c>
      <c r="K36">
        <v>99301</v>
      </c>
      <c r="N36">
        <v>99301</v>
      </c>
      <c r="Q36">
        <v>99301</v>
      </c>
      <c r="T36">
        <v>99301</v>
      </c>
      <c r="W36">
        <v>99301</v>
      </c>
      <c r="Z36">
        <v>99301</v>
      </c>
      <c r="AC36">
        <v>99301</v>
      </c>
      <c r="AF36">
        <v>99301</v>
      </c>
      <c r="AI36">
        <v>99301</v>
      </c>
    </row>
    <row r="37" spans="1:94">
      <c r="A37" s="44"/>
      <c r="C37" s="44"/>
    </row>
    <row r="38" spans="1:94">
      <c r="A38" s="51"/>
      <c r="B38" s="7"/>
      <c r="C38" s="51" t="s">
        <v>283</v>
      </c>
      <c r="D38" s="7" t="s">
        <v>284</v>
      </c>
      <c r="E38" s="7" t="s">
        <v>285</v>
      </c>
      <c r="F38" s="7" t="s">
        <v>3</v>
      </c>
      <c r="G38" s="7" t="s">
        <v>3</v>
      </c>
      <c r="H38" s="7" t="s">
        <v>3</v>
      </c>
      <c r="J38" s="7" t="s">
        <v>271</v>
      </c>
      <c r="K38" s="50">
        <f>((K34/K36)-1)</f>
        <v>1.030201105729045E-2</v>
      </c>
      <c r="N38" s="50">
        <f>((N34/N36)-1)</f>
        <v>9.2144087169312439E-3</v>
      </c>
      <c r="Q38" s="50">
        <f>((Q34/Q36)-1)</f>
        <v>5.5387156221990974E-3</v>
      </c>
      <c r="T38" s="50">
        <f>((T34/T36)-1)</f>
        <v>2.0745007603146792E-3</v>
      </c>
      <c r="W38" s="50">
        <f>((W34/W36)-1)</f>
        <v>-1.6001852952135409E-2</v>
      </c>
      <c r="Z38" s="50">
        <f>((Z34/Z36)-1)</f>
        <v>1.401798572018409E-2</v>
      </c>
      <c r="AC38" s="50">
        <f>((AC34/AC36)-1)</f>
        <v>3.9274528957422561E-4</v>
      </c>
      <c r="AF38" s="50">
        <f>((AF34/AF36)-1)</f>
        <v>-5.8508977754504476E-3</v>
      </c>
      <c r="AI38" s="50">
        <f>((AI34/AI36)-1)</f>
        <v>-6.5155436501143082E-3</v>
      </c>
    </row>
    <row r="39" spans="1:94">
      <c r="A39" s="51" t="s">
        <v>16</v>
      </c>
      <c r="B39" s="7" t="s">
        <v>73</v>
      </c>
      <c r="C39" s="51" t="s">
        <v>286</v>
      </c>
      <c r="D39" s="7" t="s">
        <v>287</v>
      </c>
      <c r="E39" s="7" t="s">
        <v>288</v>
      </c>
      <c r="F39" s="7" t="s">
        <v>289</v>
      </c>
      <c r="G39" s="7" t="s">
        <v>175</v>
      </c>
      <c r="H39" s="7" t="s">
        <v>73</v>
      </c>
    </row>
    <row r="40" spans="1:94">
      <c r="C40" s="44"/>
      <c r="CO40" s="50"/>
    </row>
    <row r="41" spans="1:94">
      <c r="A41" t="str">
        <f>+$AC$1</f>
        <v>Dubai, UAE</v>
      </c>
      <c r="B41" s="44">
        <f>$AE$5</f>
        <v>1.7680909891405028</v>
      </c>
      <c r="C41" s="13">
        <f t="shared" ref="C41:C72" si="21">B41/$F$32</f>
        <v>2.1715089927651041</v>
      </c>
      <c r="D41" s="36">
        <f>$C$41/$C$43*$D$43</f>
        <v>1.6193996281259675</v>
      </c>
      <c r="E41" s="13">
        <f t="shared" ref="E41:E86" si="22">B41*0.9/$B$86</f>
        <v>1.9543580934885936</v>
      </c>
      <c r="F41">
        <v>0</v>
      </c>
      <c r="G41" s="44">
        <v>0</v>
      </c>
      <c r="H41" s="20">
        <v>1</v>
      </c>
      <c r="I41" s="44"/>
      <c r="J41" s="7"/>
      <c r="K41" s="7" t="s">
        <v>194</v>
      </c>
      <c r="L41" s="7"/>
      <c r="M41" s="7"/>
      <c r="N41" s="7" t="s">
        <v>84</v>
      </c>
      <c r="O41" s="7"/>
      <c r="P41" s="7"/>
      <c r="Q41" s="7" t="s">
        <v>195</v>
      </c>
      <c r="R41" s="7"/>
      <c r="S41" s="7"/>
      <c r="T41" s="7" t="s">
        <v>196</v>
      </c>
      <c r="U41" s="7"/>
      <c r="V41" s="7"/>
      <c r="W41" s="7" t="s">
        <v>92</v>
      </c>
      <c r="X41" s="7"/>
      <c r="Y41" s="7"/>
      <c r="Z41" s="7" t="s">
        <v>197</v>
      </c>
      <c r="AA41" s="7"/>
      <c r="AB41" s="7"/>
      <c r="AC41" s="7" t="s">
        <v>17</v>
      </c>
      <c r="AD41" s="7"/>
      <c r="AE41" s="7"/>
      <c r="AF41" s="7" t="s">
        <v>198</v>
      </c>
      <c r="AG41" s="7"/>
      <c r="AH41" s="7"/>
      <c r="AI41" s="7" t="s">
        <v>199</v>
      </c>
      <c r="AJ41" s="7"/>
      <c r="AK41" s="7"/>
    </row>
    <row r="42" spans="1:94">
      <c r="A42" t="str">
        <f>+$K$141</f>
        <v>San Juan, Puerto Rico</v>
      </c>
      <c r="B42" s="44">
        <f>$M$145</f>
        <v>1.5240387056599003</v>
      </c>
      <c r="C42" s="13">
        <f t="shared" si="21"/>
        <v>1.8717723097900894</v>
      </c>
      <c r="D42" s="36">
        <f>$C$42/$C$43*$D$43</f>
        <v>1.395871438943858</v>
      </c>
      <c r="E42" s="13">
        <f t="shared" si="22"/>
        <v>1.6845950788110806</v>
      </c>
      <c r="F42">
        <v>7.1</v>
      </c>
      <c r="G42" s="44">
        <f>F42*$F$23/$F$26*$F$25</f>
        <v>2.3232777777777778</v>
      </c>
      <c r="H42" s="20">
        <f>2^(G42/$B$21)</f>
        <v>1.1747288372240123</v>
      </c>
      <c r="I42" s="44"/>
      <c r="M42" s="28" t="s">
        <v>149</v>
      </c>
      <c r="P42" s="28" t="s">
        <v>149</v>
      </c>
      <c r="S42" s="28" t="s">
        <v>149</v>
      </c>
      <c r="V42" s="28" t="s">
        <v>149</v>
      </c>
      <c r="Y42" s="28" t="s">
        <v>149</v>
      </c>
      <c r="AB42" s="28" t="s">
        <v>149</v>
      </c>
      <c r="AE42" s="28" t="s">
        <v>149</v>
      </c>
      <c r="AH42" s="28" t="s">
        <v>149</v>
      </c>
      <c r="AK42" s="28" t="s">
        <v>149</v>
      </c>
    </row>
    <row r="43" spans="1:94">
      <c r="A43" t="str">
        <f>+$W$21</f>
        <v>Phoenix, AZ</v>
      </c>
      <c r="B43" s="44">
        <f>$Y$25</f>
        <v>1.4739554053757069</v>
      </c>
      <c r="C43" s="13">
        <f t="shared" si="21"/>
        <v>1.8102617101532748</v>
      </c>
      <c r="D43" s="36">
        <v>1.35</v>
      </c>
      <c r="E43" s="13">
        <f t="shared" si="22"/>
        <v>1.6292355391379474</v>
      </c>
      <c r="F43">
        <v>9</v>
      </c>
      <c r="G43" s="44">
        <f>F43*$F$23/$F$26*$F$25</f>
        <v>2.9449999999999998</v>
      </c>
      <c r="H43" s="20">
        <f>2^(G43/$B$21)</f>
        <v>1.2264598449964383</v>
      </c>
      <c r="I43" s="44"/>
      <c r="J43" s="7" t="s">
        <v>260</v>
      </c>
      <c r="K43" t="s">
        <v>261</v>
      </c>
      <c r="L43" t="s">
        <v>54</v>
      </c>
      <c r="M43" s="28" t="s">
        <v>73</v>
      </c>
      <c r="N43" t="s">
        <v>261</v>
      </c>
      <c r="O43" t="s">
        <v>54</v>
      </c>
      <c r="P43" s="28" t="s">
        <v>73</v>
      </c>
      <c r="Q43" t="s">
        <v>261</v>
      </c>
      <c r="R43" t="s">
        <v>54</v>
      </c>
      <c r="S43" s="28" t="s">
        <v>73</v>
      </c>
      <c r="T43" t="s">
        <v>261</v>
      </c>
      <c r="U43" t="s">
        <v>54</v>
      </c>
      <c r="V43" s="28" t="s">
        <v>73</v>
      </c>
      <c r="W43" t="s">
        <v>261</v>
      </c>
      <c r="X43" t="s">
        <v>54</v>
      </c>
      <c r="Y43" s="28" t="s">
        <v>73</v>
      </c>
      <c r="Z43" t="s">
        <v>261</v>
      </c>
      <c r="AA43" t="s">
        <v>54</v>
      </c>
      <c r="AB43" s="28" t="s">
        <v>73</v>
      </c>
      <c r="AC43" t="s">
        <v>261</v>
      </c>
      <c r="AD43" t="s">
        <v>54</v>
      </c>
      <c r="AE43" s="28" t="s">
        <v>73</v>
      </c>
      <c r="AF43" t="s">
        <v>261</v>
      </c>
      <c r="AG43" t="s">
        <v>54</v>
      </c>
      <c r="AH43" s="28" t="s">
        <v>73</v>
      </c>
      <c r="AI43" t="s">
        <v>261</v>
      </c>
      <c r="AJ43" t="s">
        <v>54</v>
      </c>
      <c r="AK43" s="28" t="s">
        <v>73</v>
      </c>
    </row>
    <row r="44" spans="1:94">
      <c r="A44" t="str">
        <f>+$K$181</f>
        <v>Mesa, AZ</v>
      </c>
      <c r="B44" s="44">
        <f>$M$185</f>
        <v>1.4488138770125536</v>
      </c>
      <c r="C44" s="13">
        <f t="shared" si="21"/>
        <v>1.7793837433134654</v>
      </c>
      <c r="D44" s="36">
        <f t="shared" ref="D44:D85" si="23">$D$86+((C44-$C$86)/($C$43-$C$86)*($D$43-$D$86))</f>
        <v>1.3328511147647768</v>
      </c>
      <c r="E44" s="13">
        <f t="shared" si="22"/>
        <v>1.6014453689821189</v>
      </c>
      <c r="F44">
        <v>9</v>
      </c>
      <c r="G44" s="44">
        <f>F44*$F$23/$F$26*$F$25</f>
        <v>2.9449999999999998</v>
      </c>
      <c r="H44" s="20">
        <f>2^(G44/$B$21)</f>
        <v>1.2264598449964383</v>
      </c>
      <c r="I44" s="44"/>
    </row>
    <row r="45" spans="1:94">
      <c r="A45" t="str">
        <f>+$T$1</f>
        <v>Palm Springs, CA</v>
      </c>
      <c r="B45" s="44">
        <f>$V$5</f>
        <v>1.4423792607100103</v>
      </c>
      <c r="C45" s="13">
        <f t="shared" si="21"/>
        <v>1.7714809672392782</v>
      </c>
      <c r="D45" s="36">
        <f t="shared" si="23"/>
        <v>1.3284621016979845</v>
      </c>
      <c r="E45" s="13">
        <f t="shared" si="22"/>
        <v>1.5943328705153503</v>
      </c>
      <c r="F45">
        <v>9</v>
      </c>
      <c r="G45" s="44">
        <f>F45*$F$23/$F$26*$F$25</f>
        <v>2.9449999999999998</v>
      </c>
      <c r="H45" s="20">
        <f>2^(G45/$B$21)</f>
        <v>1.2264598449964383</v>
      </c>
      <c r="I45" s="44"/>
      <c r="J45" s="7" t="s">
        <v>262</v>
      </c>
      <c r="K45">
        <v>0</v>
      </c>
      <c r="L45" s="44">
        <f t="shared" ref="L45:L52" si="24">+K45/$K$54*100</f>
        <v>0</v>
      </c>
      <c r="M45" s="13">
        <f>((L45*$A$25)+(L46*$A$26)+(L47*$A$27)+(L48*$A$28)+(L49*$A$29)+(L50*$A$30)+(L51*$A$31)+(L52*$A$32))/100</f>
        <v>0.86449389344046823</v>
      </c>
      <c r="N45">
        <v>0</v>
      </c>
      <c r="O45" s="44">
        <f t="shared" ref="O45:O52" si="25">+N45/$N$54*100</f>
        <v>0</v>
      </c>
      <c r="P45" s="13">
        <f>((O45*$A$25)+(O46*$A$26)+(O47*$A$27)+(O48*$A$28)+(O49*$A$29)+(O50*$A$30)+(O51*$A$31)+(O52*$A$32))/100</f>
        <v>0.78844309448497085</v>
      </c>
      <c r="Q45">
        <v>454</v>
      </c>
      <c r="R45" s="44">
        <f t="shared" ref="R45:R52" si="26">+Q45/$Q$54*100</f>
        <v>0.45809537263132399</v>
      </c>
      <c r="S45" s="13">
        <f>((R45*$A$25)+(R46*$A$26)+(R47*$A$27)+(R48*$A$28)+(R49*$A$29)+(R50*$A$30)+(R51*$A$31)+(R52*$A$32))/100</f>
        <v>0.87734781055829769</v>
      </c>
      <c r="T45">
        <v>0</v>
      </c>
      <c r="U45" s="44">
        <f t="shared" ref="U45:U52" si="27">+T45/$T$54*100</f>
        <v>0</v>
      </c>
      <c r="V45" s="13">
        <f>((U45*$A$25)+(U46*$A$26)+(U47*$A$27)+(U48*$A$28)+(U49*$A$29)+(U50*$A$30)+(U51*$A$31)+(U52*$A$32))/100</f>
        <v>0.73168582714276409</v>
      </c>
      <c r="W45">
        <v>0</v>
      </c>
      <c r="X45" s="44">
        <f t="shared" ref="X45:X52" si="28">+W45/$W$54*100</f>
        <v>0</v>
      </c>
      <c r="Y45" s="13">
        <f>((X45*$A$25)+(X46*$A$26)+(X47*$A$27)+(X48*$A$28)+(X49*$A$29)+(X50*$A$30)+(X51*$A$31)+(X52*$A$32))/100</f>
        <v>0.55765371349331938</v>
      </c>
      <c r="Z45">
        <v>0</v>
      </c>
      <c r="AA45" s="44">
        <f t="shared" ref="AA45:AA52" si="29">Z45/$Z$54*100</f>
        <v>0</v>
      </c>
      <c r="AB45" s="13">
        <f>((AA45*$A$25)+(AA46*$A$26)+(AA47*$A$27)+(AA48*$A$28)+(AA49*$A$29)+(AA50*$A$30)+(AA51*$A$31)+(AA52*$A$32))/100</f>
        <v>0.65111894665093473</v>
      </c>
      <c r="AC45">
        <v>173</v>
      </c>
      <c r="AD45" s="44">
        <f t="shared" ref="AD45:AD52" si="30">+AC45/$AC$54*100</f>
        <v>0.17531947667642916</v>
      </c>
      <c r="AE45" s="13">
        <f>((AD45*$A$25)+(AD46*$A$26)+(AD47*$A$27)+(AD48*$A$28)+(AD49*$A$29)+(AD50*$A$30)+(AD51*$A$31)+(AD52*$A$32))/100</f>
        <v>0.89192389497425428</v>
      </c>
      <c r="AF45">
        <v>0</v>
      </c>
      <c r="AG45" s="44">
        <f t="shared" ref="AG45:AG52" si="31">AF45/$AF$54*100</f>
        <v>0</v>
      </c>
      <c r="AH45" s="13">
        <f>((AG45*$A$25)+(AG46*$A$26)+(AG47*$A$27)+(AG48*$A$28)+(AG49*$A$29)+(AG50*$A$30)+(AG51*$A$31)+(AG52*$A$32))/100</f>
        <v>0.56697666594774065</v>
      </c>
      <c r="AI45">
        <v>853</v>
      </c>
      <c r="AJ45" s="44">
        <f t="shared" ref="AJ45:AJ52" si="32">AI45/$AI$54*100</f>
        <v>0.86360507026282762</v>
      </c>
      <c r="AK45" s="13">
        <f>((AJ45*$A$25)+(AJ46*$A$26)+(AJ47*$A$27)+(AJ48*$A$28)+(AJ49*$A$29)+(AJ50*$A$30)+(AJ51*$A$31)+(AJ52*$A$32))/100</f>
        <v>1.1952400473481235</v>
      </c>
    </row>
    <row r="46" spans="1:94">
      <c r="A46" t="str">
        <f>+$H$1</f>
        <v>Fort Lauderdale, FL</v>
      </c>
      <c r="B46" s="44">
        <f>$J$5</f>
        <v>1.3686478163549431</v>
      </c>
      <c r="C46" s="13">
        <f t="shared" si="21"/>
        <v>1.6809265243684282</v>
      </c>
      <c r="D46" s="36">
        <f t="shared" si="23"/>
        <v>1.2781703271006459</v>
      </c>
      <c r="E46" s="13">
        <f t="shared" si="22"/>
        <v>1.5128338719315855</v>
      </c>
      <c r="F46">
        <v>6.5</v>
      </c>
      <c r="G46" s="44">
        <f>F46*$F$23/$F$26*$F$25</f>
        <v>2.1269444444444443</v>
      </c>
      <c r="H46" s="20">
        <f>2^(G46/$B$21)</f>
        <v>1.1588504872049772</v>
      </c>
      <c r="I46" s="44"/>
      <c r="J46" s="7" t="s">
        <v>263</v>
      </c>
      <c r="K46">
        <v>2962</v>
      </c>
      <c r="L46" s="44">
        <f t="shared" si="24"/>
        <v>2.9820092822841264</v>
      </c>
      <c r="N46">
        <v>0</v>
      </c>
      <c r="O46" s="44">
        <f t="shared" si="25"/>
        <v>0</v>
      </c>
      <c r="Q46">
        <v>8421</v>
      </c>
      <c r="R46" s="44">
        <f t="shared" si="26"/>
        <v>8.4969628478598658</v>
      </c>
      <c r="T46">
        <v>1420</v>
      </c>
      <c r="U46" s="44">
        <f t="shared" si="27"/>
        <v>1.4288014167270384</v>
      </c>
      <c r="W46">
        <v>243</v>
      </c>
      <c r="X46" s="44">
        <f t="shared" si="28"/>
        <v>0.24281546025020981</v>
      </c>
      <c r="Z46">
        <v>2259</v>
      </c>
      <c r="AA46" s="44">
        <f t="shared" si="29"/>
        <v>2.2552562745841902</v>
      </c>
      <c r="AC46">
        <v>6189</v>
      </c>
      <c r="AD46" s="44">
        <f t="shared" si="30"/>
        <v>6.2719782725457804</v>
      </c>
      <c r="AE46" s="49"/>
      <c r="AF46">
        <v>1626</v>
      </c>
      <c r="AG46" s="44">
        <f t="shared" si="31"/>
        <v>1.6209103415276034</v>
      </c>
      <c r="AI46">
        <v>12931</v>
      </c>
      <c r="AJ46" s="44">
        <f t="shared" si="32"/>
        <v>13.091766897501318</v>
      </c>
    </row>
    <row r="47" spans="1:94">
      <c r="A47" t="str">
        <f>+$AI$61</f>
        <v>Hong Kong Intl Airport</v>
      </c>
      <c r="B47" s="44">
        <f>$AK$65</f>
        <v>1.3616633902009809</v>
      </c>
      <c r="C47" s="13">
        <f t="shared" si="21"/>
        <v>1.6723484906044501</v>
      </c>
      <c r="D47" s="36">
        <f t="shared" si="23"/>
        <v>1.2734062920420723</v>
      </c>
      <c r="E47" s="13">
        <f t="shared" si="22"/>
        <v>1.5051136415440052</v>
      </c>
      <c r="F47">
        <v>0</v>
      </c>
      <c r="G47" s="44">
        <v>0</v>
      </c>
      <c r="H47" s="20">
        <v>1</v>
      </c>
      <c r="I47" s="44"/>
      <c r="J47" s="7" t="s">
        <v>264</v>
      </c>
      <c r="K47">
        <v>12383</v>
      </c>
      <c r="L47" s="44">
        <f t="shared" si="24"/>
        <v>12.466651229751633</v>
      </c>
      <c r="N47">
        <v>6057</v>
      </c>
      <c r="O47" s="44">
        <f t="shared" si="25"/>
        <v>6.0571817154514633</v>
      </c>
      <c r="Q47">
        <v>11510</v>
      </c>
      <c r="R47" s="44">
        <f t="shared" si="26"/>
        <v>11.613827618913083</v>
      </c>
      <c r="T47">
        <v>8120</v>
      </c>
      <c r="U47" s="44">
        <f t="shared" si="27"/>
        <v>8.1703292280447553</v>
      </c>
      <c r="W47">
        <v>3262</v>
      </c>
      <c r="X47" s="44">
        <f t="shared" si="28"/>
        <v>3.2595227627003474</v>
      </c>
      <c r="Z47">
        <v>9979</v>
      </c>
      <c r="AA47" s="44">
        <f t="shared" si="29"/>
        <v>9.9624623125611489</v>
      </c>
      <c r="AC47">
        <v>12205</v>
      </c>
      <c r="AD47" s="44">
        <f t="shared" si="30"/>
        <v>12.368637068415133</v>
      </c>
      <c r="AE47" s="49"/>
      <c r="AF47">
        <v>8854</v>
      </c>
      <c r="AG47" s="44">
        <f t="shared" si="31"/>
        <v>8.8262854636441563</v>
      </c>
      <c r="AI47">
        <v>31831</v>
      </c>
      <c r="AJ47" s="44">
        <f t="shared" si="32"/>
        <v>32.226744421495972</v>
      </c>
    </row>
    <row r="48" spans="1:94">
      <c r="A48" t="str">
        <f>+$T$21</f>
        <v>Honolulu, HI</v>
      </c>
      <c r="B48" s="44">
        <f>$V$25</f>
        <v>1.3619228368665275</v>
      </c>
      <c r="C48" s="13">
        <f t="shared" si="21"/>
        <v>1.6726671341419364</v>
      </c>
      <c r="D48" s="36">
        <f t="shared" si="23"/>
        <v>1.2735832590517089</v>
      </c>
      <c r="E48" s="13">
        <f t="shared" si="22"/>
        <v>1.5054004207277427</v>
      </c>
      <c r="F48">
        <v>7.7</v>
      </c>
      <c r="G48" s="44">
        <f t="shared" ref="G48:G64" si="33">F48*$F$23/$F$26*$F$25</f>
        <v>2.5196111111111112</v>
      </c>
      <c r="H48" s="20">
        <f t="shared" ref="H48:H64" si="34">2^(G48/$B$21)</f>
        <v>1.1908247493894253</v>
      </c>
      <c r="I48" s="44"/>
      <c r="J48" s="7" t="s">
        <v>265</v>
      </c>
      <c r="K48">
        <v>28726</v>
      </c>
      <c r="L48" s="44">
        <f t="shared" si="24"/>
        <v>28.920053559383462</v>
      </c>
      <c r="N48">
        <v>33834</v>
      </c>
      <c r="O48" s="44">
        <f t="shared" si="25"/>
        <v>33.83501505045151</v>
      </c>
      <c r="Q48">
        <v>16977</v>
      </c>
      <c r="R48" s="44">
        <f t="shared" si="26"/>
        <v>17.130143482735658</v>
      </c>
      <c r="T48">
        <v>17518</v>
      </c>
      <c r="U48" s="44">
        <f t="shared" si="27"/>
        <v>17.626579731143845</v>
      </c>
      <c r="W48">
        <v>10180</v>
      </c>
      <c r="X48" s="44">
        <f t="shared" si="28"/>
        <v>10.172269075502619</v>
      </c>
      <c r="Z48">
        <v>17015</v>
      </c>
      <c r="AA48" s="44">
        <f t="shared" si="29"/>
        <v>16.986801908831339</v>
      </c>
      <c r="AC48">
        <v>22228</v>
      </c>
      <c r="AD48" s="44">
        <f t="shared" si="30"/>
        <v>22.526019234472066</v>
      </c>
      <c r="AE48" s="49"/>
      <c r="AF48">
        <v>14307</v>
      </c>
      <c r="AG48" s="44">
        <f t="shared" si="31"/>
        <v>14.262216639751182</v>
      </c>
      <c r="AI48">
        <v>20733</v>
      </c>
      <c r="AJ48" s="44">
        <f t="shared" si="32"/>
        <v>20.990766614020167</v>
      </c>
    </row>
    <row r="49" spans="1:37">
      <c r="A49" t="str">
        <f>+$K$101</f>
        <v>Las Vegas, NV</v>
      </c>
      <c r="B49" s="44">
        <f>$M$105</f>
        <v>1.2231165768526531</v>
      </c>
      <c r="C49" s="13">
        <f t="shared" si="21"/>
        <v>1.5021900242400616</v>
      </c>
      <c r="D49" s="36">
        <f t="shared" si="23"/>
        <v>1.1789043442090812</v>
      </c>
      <c r="E49" s="13">
        <f t="shared" si="22"/>
        <v>1.3519710218160557</v>
      </c>
      <c r="F49">
        <v>9</v>
      </c>
      <c r="G49" s="44">
        <f t="shared" si="33"/>
        <v>2.9449999999999998</v>
      </c>
      <c r="H49" s="20">
        <f t="shared" si="34"/>
        <v>1.2264598449964383</v>
      </c>
      <c r="I49" s="44"/>
      <c r="J49" s="7" t="s">
        <v>266</v>
      </c>
      <c r="K49">
        <v>47523</v>
      </c>
      <c r="L49" s="44">
        <f t="shared" si="24"/>
        <v>47.84403346454711</v>
      </c>
      <c r="N49">
        <v>56539</v>
      </c>
      <c r="O49" s="44">
        <f t="shared" si="25"/>
        <v>56.540696220886623</v>
      </c>
      <c r="Q49">
        <v>38377</v>
      </c>
      <c r="R49" s="44">
        <f t="shared" si="26"/>
        <v>38.723185276370756</v>
      </c>
      <c r="T49">
        <v>55790</v>
      </c>
      <c r="U49" s="44">
        <f t="shared" si="27"/>
        <v>56.13579650647992</v>
      </c>
      <c r="W49">
        <v>42554</v>
      </c>
      <c r="X49" s="44">
        <f t="shared" si="28"/>
        <v>42.521683520524398</v>
      </c>
      <c r="Z49">
        <v>25437</v>
      </c>
      <c r="AA49" s="44">
        <f t="shared" si="29"/>
        <v>25.394844558033665</v>
      </c>
      <c r="AC49">
        <v>46500</v>
      </c>
      <c r="AD49" s="44">
        <f t="shared" si="30"/>
        <v>47.12344315291304</v>
      </c>
      <c r="AE49" s="49"/>
      <c r="AF49">
        <v>21893</v>
      </c>
      <c r="AG49" s="44">
        <f t="shared" si="31"/>
        <v>21.824471160555856</v>
      </c>
      <c r="AI49">
        <v>20715</v>
      </c>
      <c r="AJ49" s="44">
        <f t="shared" si="32"/>
        <v>20.972542825902078</v>
      </c>
    </row>
    <row r="50" spans="1:37">
      <c r="A50" t="str">
        <f>+$AC$101</f>
        <v>Orlando, FL</v>
      </c>
      <c r="B50" s="44">
        <f>$AE$105</f>
        <v>1.2014983180899714</v>
      </c>
      <c r="C50" s="13">
        <f t="shared" si="21"/>
        <v>1.4756392168441672</v>
      </c>
      <c r="D50" s="36">
        <f t="shared" si="23"/>
        <v>1.1641586599709697</v>
      </c>
      <c r="E50" s="13">
        <f t="shared" si="22"/>
        <v>1.3280752951597505</v>
      </c>
      <c r="F50">
        <v>6.5</v>
      </c>
      <c r="G50" s="44">
        <f t="shared" si="33"/>
        <v>2.1269444444444443</v>
      </c>
      <c r="H50" s="20">
        <f t="shared" si="34"/>
        <v>1.1588504872049772</v>
      </c>
      <c r="I50" s="44"/>
      <c r="J50" s="7" t="s">
        <v>267</v>
      </c>
      <c r="K50">
        <v>7735</v>
      </c>
      <c r="L50" s="44">
        <f t="shared" si="24"/>
        <v>7.7872524640336653</v>
      </c>
      <c r="N50">
        <v>3567</v>
      </c>
      <c r="O50" s="44">
        <f t="shared" si="25"/>
        <v>3.5671070132103964</v>
      </c>
      <c r="Q50">
        <v>22848</v>
      </c>
      <c r="R50" s="44">
        <f t="shared" si="26"/>
        <v>23.054103686961437</v>
      </c>
      <c r="T50">
        <v>16536</v>
      </c>
      <c r="U50" s="44">
        <f t="shared" si="27"/>
        <v>16.638493117604444</v>
      </c>
      <c r="W50">
        <v>41404</v>
      </c>
      <c r="X50" s="44">
        <f t="shared" si="28"/>
        <v>41.37255685678884</v>
      </c>
      <c r="Z50">
        <v>30738</v>
      </c>
      <c r="AA50" s="44">
        <f t="shared" si="29"/>
        <v>30.687059481261109</v>
      </c>
      <c r="AC50">
        <v>11382</v>
      </c>
      <c r="AD50" s="44">
        <f t="shared" si="30"/>
        <v>11.534602794977552</v>
      </c>
      <c r="AE50" s="49"/>
      <c r="AF50">
        <v>24097</v>
      </c>
      <c r="AG50" s="44">
        <f t="shared" si="31"/>
        <v>24.021572263093883</v>
      </c>
      <c r="AI50">
        <v>10887</v>
      </c>
      <c r="AJ50" s="44">
        <f t="shared" si="32"/>
        <v>11.022354513424858</v>
      </c>
    </row>
    <row r="51" spans="1:37">
      <c r="A51" t="str">
        <f>+$AI$41</f>
        <v>Houston, TX</v>
      </c>
      <c r="B51" s="44">
        <f>$AK$45</f>
        <v>1.1952400473481235</v>
      </c>
      <c r="C51" s="13">
        <f t="shared" si="21"/>
        <v>1.4679530223674406</v>
      </c>
      <c r="D51" s="36">
        <f t="shared" si="23"/>
        <v>1.1598899311501636</v>
      </c>
      <c r="E51" s="13">
        <f t="shared" si="22"/>
        <v>1.3211577201306968</v>
      </c>
      <c r="F51">
        <v>6.5</v>
      </c>
      <c r="G51" s="44">
        <f t="shared" si="33"/>
        <v>2.1269444444444443</v>
      </c>
      <c r="H51" s="20">
        <f t="shared" si="34"/>
        <v>1.1588504872049772</v>
      </c>
      <c r="I51" s="44"/>
      <c r="J51" s="7" t="s">
        <v>268</v>
      </c>
      <c r="K51">
        <v>0</v>
      </c>
      <c r="L51" s="44">
        <f t="shared" si="24"/>
        <v>0</v>
      </c>
      <c r="N51">
        <v>0</v>
      </c>
      <c r="O51" s="44">
        <f t="shared" si="25"/>
        <v>0</v>
      </c>
      <c r="Q51">
        <v>519</v>
      </c>
      <c r="R51" s="44">
        <f t="shared" si="26"/>
        <v>0.52368171452787915</v>
      </c>
      <c r="T51">
        <v>0</v>
      </c>
      <c r="U51" s="44">
        <f t="shared" si="27"/>
        <v>0</v>
      </c>
      <c r="W51">
        <v>2433</v>
      </c>
      <c r="X51" s="44">
        <f t="shared" si="28"/>
        <v>2.4311523242335822</v>
      </c>
      <c r="Z51">
        <v>13642</v>
      </c>
      <c r="AA51" s="44">
        <f t="shared" si="29"/>
        <v>13.61939180959607</v>
      </c>
      <c r="AC51">
        <v>0</v>
      </c>
      <c r="AD51" s="44">
        <f t="shared" si="30"/>
        <v>0</v>
      </c>
      <c r="AF51">
        <v>19827</v>
      </c>
      <c r="AG51" s="44">
        <f t="shared" si="31"/>
        <v>19.764938094383634</v>
      </c>
      <c r="AI51">
        <v>822</v>
      </c>
      <c r="AJ51" s="44">
        <f t="shared" si="32"/>
        <v>0.83221965739278347</v>
      </c>
    </row>
    <row r="52" spans="1:37">
      <c r="A52" t="str">
        <f>$Q$121</f>
        <v>Tucson, AZ</v>
      </c>
      <c r="B52" s="44">
        <f>$S$125</f>
        <v>1.1817089567138814</v>
      </c>
      <c r="C52" s="13">
        <f t="shared" si="21"/>
        <v>1.4513345987825437</v>
      </c>
      <c r="D52" s="36">
        <f t="shared" si="23"/>
        <v>1.1506604556368889</v>
      </c>
      <c r="E52" s="13">
        <f t="shared" si="22"/>
        <v>1.3062011389042896</v>
      </c>
      <c r="F52">
        <v>9</v>
      </c>
      <c r="G52" s="44">
        <f t="shared" si="33"/>
        <v>2.9449999999999998</v>
      </c>
      <c r="H52" s="20">
        <f t="shared" si="34"/>
        <v>1.2264598449964383</v>
      </c>
      <c r="I52" s="44"/>
      <c r="J52" s="7" t="s">
        <v>269</v>
      </c>
      <c r="K52">
        <v>0</v>
      </c>
      <c r="L52" s="44">
        <f t="shared" si="24"/>
        <v>0</v>
      </c>
      <c r="N52">
        <v>0</v>
      </c>
      <c r="O52" s="44">
        <f t="shared" si="25"/>
        <v>0</v>
      </c>
      <c r="Q52">
        <v>0</v>
      </c>
      <c r="R52" s="44">
        <f t="shared" si="26"/>
        <v>0</v>
      </c>
      <c r="T52">
        <v>0</v>
      </c>
      <c r="U52" s="44">
        <f t="shared" si="27"/>
        <v>0</v>
      </c>
      <c r="W52">
        <v>0</v>
      </c>
      <c r="X52" s="44">
        <f t="shared" si="28"/>
        <v>0</v>
      </c>
      <c r="Z52">
        <v>1096</v>
      </c>
      <c r="AA52" s="44">
        <f t="shared" si="29"/>
        <v>1.0941836551324799</v>
      </c>
      <c r="AC52">
        <v>0</v>
      </c>
      <c r="AD52" s="44">
        <f t="shared" si="30"/>
        <v>0</v>
      </c>
      <c r="AF52">
        <v>9710</v>
      </c>
      <c r="AG52" s="44">
        <f t="shared" si="31"/>
        <v>9.6796060370436816</v>
      </c>
      <c r="AI52">
        <v>0</v>
      </c>
      <c r="AJ52" s="44">
        <f t="shared" si="32"/>
        <v>0</v>
      </c>
    </row>
    <row r="53" spans="1:37">
      <c r="A53" t="str">
        <f>+$Q$101</f>
        <v>New Orleans, LA</v>
      </c>
      <c r="B53" s="44">
        <f>$S$105</f>
        <v>1.1568103894868584</v>
      </c>
      <c r="C53" s="13">
        <f t="shared" si="21"/>
        <v>1.4207550285157839</v>
      </c>
      <c r="D53" s="36">
        <f t="shared" si="23"/>
        <v>1.1336772927308709</v>
      </c>
      <c r="E53" s="13">
        <f t="shared" si="22"/>
        <v>1.2786795256642056</v>
      </c>
      <c r="F53">
        <v>6.5</v>
      </c>
      <c r="G53" s="44">
        <f t="shared" si="33"/>
        <v>2.1269444444444443</v>
      </c>
      <c r="H53" s="20">
        <f t="shared" si="34"/>
        <v>1.1588504872049772</v>
      </c>
      <c r="I53" s="44"/>
    </row>
    <row r="54" spans="1:37">
      <c r="A54" t="str">
        <f>+$AF$141</f>
        <v>Hilo, HI</v>
      </c>
      <c r="B54" s="44">
        <f>$AH$145</f>
        <v>1.1569158766194116</v>
      </c>
      <c r="C54" s="13">
        <f t="shared" si="21"/>
        <v>1.420884584210806</v>
      </c>
      <c r="D54" s="36">
        <f t="shared" si="23"/>
        <v>1.1337492448693336</v>
      </c>
      <c r="E54" s="13">
        <f t="shared" si="22"/>
        <v>1.2787961257897253</v>
      </c>
      <c r="F54">
        <v>6</v>
      </c>
      <c r="G54" s="44">
        <f t="shared" si="33"/>
        <v>1.9633333333333334</v>
      </c>
      <c r="H54" s="20">
        <f t="shared" si="34"/>
        <v>1.1457825993918409</v>
      </c>
      <c r="I54" s="44"/>
      <c r="K54">
        <f>SUM(K45:K52)</f>
        <v>99329</v>
      </c>
      <c r="L54">
        <f>SUM(L45:L52)</f>
        <v>100</v>
      </c>
      <c r="N54">
        <f>SUM(N45:N52)</f>
        <v>99997</v>
      </c>
      <c r="O54">
        <f>SUM(O45:O52)</f>
        <v>100</v>
      </c>
      <c r="Q54">
        <f>SUM(Q45:Q52)</f>
        <v>99106</v>
      </c>
      <c r="R54">
        <f>SUM(R45:R52)</f>
        <v>100.00000000000001</v>
      </c>
      <c r="T54">
        <f>SUM(T45:T52)</f>
        <v>99384</v>
      </c>
      <c r="U54">
        <f>SUM(U45:U52)</f>
        <v>100</v>
      </c>
      <c r="W54">
        <f>SUM(W45:W52)</f>
        <v>100076</v>
      </c>
      <c r="X54">
        <f>SUM(X45:X52)</f>
        <v>100</v>
      </c>
      <c r="Z54">
        <f>SUM(Z45:Z52)</f>
        <v>100166</v>
      </c>
      <c r="AA54">
        <f>SUM(AA45:AA52)</f>
        <v>100</v>
      </c>
      <c r="AC54">
        <f>SUM(AC45:AC52)</f>
        <v>98677</v>
      </c>
      <c r="AD54">
        <f>SUM(AD45:AD52)</f>
        <v>100</v>
      </c>
      <c r="AF54">
        <f>SUM(AF45:AF52)</f>
        <v>100314</v>
      </c>
      <c r="AG54">
        <f>SUM(AG45:AG52)</f>
        <v>100</v>
      </c>
      <c r="AI54">
        <f>SUM(AI45:AI52)</f>
        <v>98772</v>
      </c>
      <c r="AJ54">
        <f>SUM(AJ45:AJ52)</f>
        <v>100</v>
      </c>
    </row>
    <row r="55" spans="1:37">
      <c r="A55" t="str">
        <f>+$K$1</f>
        <v>Ridgecrest, CA</v>
      </c>
      <c r="B55" s="44">
        <f>$M$5</f>
        <v>1.1156838112530407</v>
      </c>
      <c r="C55" s="13">
        <f t="shared" si="21"/>
        <v>1.3702447691315618</v>
      </c>
      <c r="D55" s="36">
        <f t="shared" si="23"/>
        <v>1.1056251011511895</v>
      </c>
      <c r="E55" s="13">
        <f t="shared" si="22"/>
        <v>1.2332202922184055</v>
      </c>
      <c r="F55">
        <v>9</v>
      </c>
      <c r="G55" s="44">
        <f t="shared" si="33"/>
        <v>2.9449999999999998</v>
      </c>
      <c r="H55" s="20">
        <f t="shared" si="34"/>
        <v>1.2264598449964383</v>
      </c>
      <c r="I55" s="44"/>
    </row>
    <row r="56" spans="1:37">
      <c r="A56" t="str">
        <f>+$AF$121</f>
        <v>San Antonio, TX</v>
      </c>
      <c r="B56" s="44">
        <f>$AH$125</f>
        <v>1.1141395811205461</v>
      </c>
      <c r="C56" s="13">
        <f t="shared" si="21"/>
        <v>1.3683481984006396</v>
      </c>
      <c r="D56" s="36">
        <f t="shared" si="23"/>
        <v>1.1045717910685082</v>
      </c>
      <c r="E56" s="13">
        <f t="shared" si="22"/>
        <v>1.2315133785605759</v>
      </c>
      <c r="F56">
        <v>6.5</v>
      </c>
      <c r="G56" s="44">
        <f t="shared" si="33"/>
        <v>2.1269444444444443</v>
      </c>
      <c r="H56" s="20">
        <f t="shared" si="34"/>
        <v>1.1588504872049772</v>
      </c>
      <c r="I56" s="44"/>
      <c r="J56" s="7" t="s">
        <v>270</v>
      </c>
      <c r="K56">
        <v>99301</v>
      </c>
      <c r="N56">
        <v>99301</v>
      </c>
      <c r="Q56">
        <v>99301</v>
      </c>
      <c r="T56">
        <v>99301</v>
      </c>
      <c r="W56">
        <v>99301</v>
      </c>
      <c r="Z56">
        <v>99301</v>
      </c>
      <c r="AC56">
        <v>99301</v>
      </c>
      <c r="AF56">
        <v>99301</v>
      </c>
      <c r="AI56">
        <v>99301</v>
      </c>
    </row>
    <row r="57" spans="1:37">
      <c r="A57" t="str">
        <f>+$Z$141</f>
        <v>Jacksonville, FL</v>
      </c>
      <c r="B57" s="44">
        <f>$AB$145</f>
        <v>1.1092392768961767</v>
      </c>
      <c r="C57" s="13">
        <f t="shared" si="21"/>
        <v>1.362329812041646</v>
      </c>
      <c r="D57" s="36">
        <f t="shared" si="23"/>
        <v>1.1012293230392158</v>
      </c>
      <c r="E57" s="13">
        <f t="shared" si="22"/>
        <v>1.2260968308374813</v>
      </c>
      <c r="F57">
        <v>6.5</v>
      </c>
      <c r="G57" s="44">
        <f t="shared" si="33"/>
        <v>2.1269444444444443</v>
      </c>
      <c r="H57" s="20">
        <f t="shared" si="34"/>
        <v>1.1588504872049772</v>
      </c>
      <c r="I57" s="44"/>
    </row>
    <row r="58" spans="1:37">
      <c r="A58" t="str">
        <f>+$W$121</f>
        <v>Austin, TX</v>
      </c>
      <c r="B58" s="44">
        <f>$Y$125</f>
        <v>1.0973593239325188</v>
      </c>
      <c r="C58" s="13">
        <f t="shared" si="21"/>
        <v>1.347739259376282</v>
      </c>
      <c r="D58" s="36">
        <f t="shared" si="23"/>
        <v>1.0931260785971555</v>
      </c>
      <c r="E58" s="13">
        <f t="shared" si="22"/>
        <v>1.2129653334386539</v>
      </c>
      <c r="F58">
        <v>6.5</v>
      </c>
      <c r="G58" s="44">
        <f t="shared" si="33"/>
        <v>2.1269444444444443</v>
      </c>
      <c r="H58" s="20">
        <f t="shared" si="34"/>
        <v>1.1588504872049772</v>
      </c>
      <c r="I58" s="44"/>
      <c r="J58" s="7" t="s">
        <v>271</v>
      </c>
      <c r="K58" s="50">
        <f>((K54/K56)-1)</f>
        <v>2.8197097713023034E-4</v>
      </c>
      <c r="N58" s="50">
        <f>((N54/N56)-1)</f>
        <v>7.0089928600920448E-3</v>
      </c>
      <c r="Q58" s="50">
        <f>((Q54/Q56)-1)</f>
        <v>-1.9637264478705729E-3</v>
      </c>
      <c r="T58" s="50">
        <f>((T54/T56)-1)</f>
        <v>8.3584253934998465E-4</v>
      </c>
      <c r="W58" s="50">
        <f>((W54/W56)-1)</f>
        <v>7.8045538312807583E-3</v>
      </c>
      <c r="Z58" s="50">
        <f>((Z54/Z56)-1)</f>
        <v>8.710889114913245E-3</v>
      </c>
      <c r="AC58" s="50">
        <f>((AC54/AC56)-1)</f>
        <v>-6.2839246331859444E-3</v>
      </c>
      <c r="AF58" s="50">
        <f>((AF54/AF56)-1)</f>
        <v>1.0201307136886939E-2</v>
      </c>
      <c r="AI58" s="50">
        <f>((AI54/AI56)-1)</f>
        <v>-5.3272373893515912E-3</v>
      </c>
    </row>
    <row r="59" spans="1:37">
      <c r="A59" t="str">
        <f>+$AF$21</f>
        <v>Dallas, TX</v>
      </c>
      <c r="B59" s="44">
        <f>$AH$25</f>
        <v>1.0753402055209287</v>
      </c>
      <c r="C59" s="13">
        <f t="shared" si="21"/>
        <v>1.3206961298443731</v>
      </c>
      <c r="D59" s="36">
        <f t="shared" si="23"/>
        <v>1.0781069704042521</v>
      </c>
      <c r="E59" s="13">
        <f t="shared" si="22"/>
        <v>1.1886265168599359</v>
      </c>
      <c r="F59">
        <v>7</v>
      </c>
      <c r="G59" s="44">
        <f t="shared" si="33"/>
        <v>2.2905555555555552</v>
      </c>
      <c r="H59" s="20">
        <f t="shared" si="34"/>
        <v>1.1720674169847023</v>
      </c>
    </row>
    <row r="60" spans="1:37">
      <c r="A60" t="str">
        <f>+$AI$181</f>
        <v>Witchita Falls, TX</v>
      </c>
      <c r="B60" s="44">
        <f>$AK$185</f>
        <v>1.0724912728957461</v>
      </c>
      <c r="C60" s="13">
        <f t="shared" si="21"/>
        <v>1.3171971680526087</v>
      </c>
      <c r="D60" s="36">
        <f t="shared" si="23"/>
        <v>1.0761637306009098</v>
      </c>
      <c r="E60" s="13">
        <f t="shared" si="22"/>
        <v>1.1854774512473478</v>
      </c>
      <c r="F60">
        <v>7.5</v>
      </c>
      <c r="G60" s="44">
        <f t="shared" si="33"/>
        <v>2.4541666666666666</v>
      </c>
      <c r="H60" s="20">
        <f t="shared" si="34"/>
        <v>1.1854350885855089</v>
      </c>
    </row>
    <row r="61" spans="1:37">
      <c r="A61" t="str">
        <f>+$N$181</f>
        <v>Waxahachie, TX</v>
      </c>
      <c r="B61" s="44">
        <f>$P$185</f>
        <v>1.0185489335119595</v>
      </c>
      <c r="C61" s="13">
        <f t="shared" si="21"/>
        <v>1.2509470283357484</v>
      </c>
      <c r="D61" s="36">
        <f t="shared" si="23"/>
        <v>1.0393699854454741</v>
      </c>
      <c r="E61" s="13">
        <f t="shared" si="22"/>
        <v>1.1258523255021737</v>
      </c>
      <c r="F61">
        <v>7</v>
      </c>
      <c r="G61" s="44">
        <f t="shared" si="33"/>
        <v>2.2905555555555552</v>
      </c>
      <c r="H61" s="20">
        <f t="shared" si="34"/>
        <v>1.1720674169847023</v>
      </c>
      <c r="J61" s="7"/>
      <c r="K61" s="7" t="s">
        <v>200</v>
      </c>
      <c r="L61" s="7"/>
      <c r="M61" s="7"/>
      <c r="N61" s="7" t="s">
        <v>201</v>
      </c>
      <c r="O61" s="7"/>
      <c r="P61" s="7"/>
      <c r="Q61" s="7" t="s">
        <v>202</v>
      </c>
      <c r="R61" s="7"/>
      <c r="S61" s="7"/>
      <c r="T61" s="7" t="s">
        <v>101</v>
      </c>
      <c r="U61" s="7"/>
      <c r="V61" s="7"/>
      <c r="W61" s="7" t="s">
        <v>203</v>
      </c>
      <c r="X61" s="7"/>
      <c r="Y61" s="7"/>
      <c r="Z61" s="7" t="s">
        <v>204</v>
      </c>
      <c r="AA61" s="7"/>
      <c r="AB61" s="7"/>
      <c r="AC61" s="7" t="s">
        <v>205</v>
      </c>
      <c r="AD61" s="7"/>
      <c r="AE61" s="7"/>
      <c r="AF61" s="7" t="s">
        <v>206</v>
      </c>
      <c r="AG61" s="7"/>
      <c r="AH61" s="7"/>
      <c r="AI61" s="7" t="s">
        <v>207</v>
      </c>
      <c r="AJ61" s="7"/>
      <c r="AK61" s="7"/>
    </row>
    <row r="62" spans="1:37">
      <c r="A62" t="str">
        <f>+$AF$181</f>
        <v>Tyler, TX</v>
      </c>
      <c r="B62" s="44">
        <f>$AH$185</f>
        <v>1.0145555738581931</v>
      </c>
      <c r="C62" s="13">
        <f t="shared" si="21"/>
        <v>1.246042520336579</v>
      </c>
      <c r="D62" s="36">
        <f t="shared" si="23"/>
        <v>1.036646138851256</v>
      </c>
      <c r="E62" s="13">
        <f t="shared" si="22"/>
        <v>1.1214382683029211</v>
      </c>
      <c r="F62">
        <v>6.5</v>
      </c>
      <c r="G62" s="44">
        <f t="shared" si="33"/>
        <v>2.1269444444444443</v>
      </c>
      <c r="H62" s="20">
        <f t="shared" si="34"/>
        <v>1.1588504872049772</v>
      </c>
      <c r="M62" s="28" t="s">
        <v>149</v>
      </c>
      <c r="P62" s="28" t="s">
        <v>149</v>
      </c>
      <c r="S62" s="28" t="s">
        <v>149</v>
      </c>
      <c r="V62" s="28" t="s">
        <v>149</v>
      </c>
      <c r="Y62" s="28" t="s">
        <v>149</v>
      </c>
      <c r="AB62" s="28" t="s">
        <v>149</v>
      </c>
      <c r="AE62" s="28" t="s">
        <v>149</v>
      </c>
      <c r="AH62" s="28" t="s">
        <v>149</v>
      </c>
      <c r="AK62" s="28" t="s">
        <v>149</v>
      </c>
    </row>
    <row r="63" spans="1:37">
      <c r="A63" t="str">
        <f>+$AI$21</f>
        <v>Bakersfield, CA</v>
      </c>
      <c r="B63" s="44">
        <f>$AK$25</f>
        <v>1.0007769956879129</v>
      </c>
      <c r="C63" s="13">
        <f t="shared" si="21"/>
        <v>1.2291201410087904</v>
      </c>
      <c r="D63" s="36">
        <f t="shared" si="23"/>
        <v>1.0272478535786318</v>
      </c>
      <c r="E63" s="13">
        <f t="shared" si="22"/>
        <v>1.1062081269079114</v>
      </c>
      <c r="F63">
        <v>7.5</v>
      </c>
      <c r="G63" s="44">
        <f t="shared" si="33"/>
        <v>2.4541666666666666</v>
      </c>
      <c r="H63" s="20">
        <f t="shared" si="34"/>
        <v>1.1854350885855089</v>
      </c>
      <c r="J63" s="7" t="s">
        <v>260</v>
      </c>
      <c r="K63" t="s">
        <v>261</v>
      </c>
      <c r="L63" t="s">
        <v>54</v>
      </c>
      <c r="M63" s="28" t="s">
        <v>73</v>
      </c>
      <c r="N63" t="s">
        <v>261</v>
      </c>
      <c r="O63" t="s">
        <v>54</v>
      </c>
      <c r="P63" s="28" t="s">
        <v>73</v>
      </c>
      <c r="Q63" t="s">
        <v>261</v>
      </c>
      <c r="R63" t="s">
        <v>54</v>
      </c>
      <c r="S63" s="28" t="s">
        <v>73</v>
      </c>
      <c r="T63" t="s">
        <v>261</v>
      </c>
      <c r="U63" t="s">
        <v>54</v>
      </c>
      <c r="V63" s="28" t="s">
        <v>73</v>
      </c>
      <c r="W63" t="s">
        <v>261</v>
      </c>
      <c r="X63" t="s">
        <v>54</v>
      </c>
      <c r="Y63" s="28" t="s">
        <v>73</v>
      </c>
      <c r="Z63" t="s">
        <v>261</v>
      </c>
      <c r="AA63" t="s">
        <v>54</v>
      </c>
      <c r="AB63" s="28" t="s">
        <v>73</v>
      </c>
      <c r="AC63" t="s">
        <v>261</v>
      </c>
      <c r="AD63" t="s">
        <v>54</v>
      </c>
      <c r="AE63" s="28" t="s">
        <v>73</v>
      </c>
      <c r="AF63" t="s">
        <v>261</v>
      </c>
      <c r="AG63" t="s">
        <v>54</v>
      </c>
      <c r="AH63" s="28" t="s">
        <v>73</v>
      </c>
      <c r="AI63" t="s">
        <v>261</v>
      </c>
      <c r="AJ63" t="s">
        <v>54</v>
      </c>
      <c r="AK63" s="28" t="s">
        <v>73</v>
      </c>
    </row>
    <row r="64" spans="1:37">
      <c r="A64" t="str">
        <f>+$W$201</f>
        <v>El Paso, TX</v>
      </c>
      <c r="B64" s="44">
        <f>$Y$205</f>
        <v>1.002534841204082</v>
      </c>
      <c r="C64" s="13">
        <f t="shared" si="21"/>
        <v>1.2312790668614177</v>
      </c>
      <c r="D64" s="36">
        <f t="shared" si="23"/>
        <v>1.0284468694293234</v>
      </c>
      <c r="E64" s="13">
        <f t="shared" si="22"/>
        <v>1.108151160175276</v>
      </c>
      <c r="F64">
        <v>9</v>
      </c>
      <c r="G64" s="44">
        <f t="shared" si="33"/>
        <v>2.9449999999999998</v>
      </c>
      <c r="H64" s="20">
        <f t="shared" si="34"/>
        <v>1.2264598449964383</v>
      </c>
    </row>
    <row r="65" spans="1:37">
      <c r="A65" t="str">
        <f>+$Z$181</f>
        <v>Sevilla, Spain</v>
      </c>
      <c r="B65" s="44">
        <f>$AB$185</f>
        <v>0.96466532292374152</v>
      </c>
      <c r="C65" s="13">
        <f t="shared" si="21"/>
        <v>1.1847690173206886</v>
      </c>
      <c r="D65" s="36">
        <f t="shared" si="23"/>
        <v>1.0026162988481604</v>
      </c>
      <c r="E65" s="13">
        <f t="shared" si="22"/>
        <v>1.0662921155886198</v>
      </c>
      <c r="F65">
        <v>0</v>
      </c>
      <c r="G65" s="44">
        <v>0</v>
      </c>
      <c r="H65" s="20">
        <v>1</v>
      </c>
      <c r="J65" s="7" t="s">
        <v>262</v>
      </c>
      <c r="K65">
        <v>0</v>
      </c>
      <c r="L65" s="44">
        <f t="shared" ref="L65:L72" si="35">K65/$K$74*100</f>
        <v>0</v>
      </c>
      <c r="M65" s="13">
        <f>((L65*$A$25)+(L66*$A$26)+(L67*$A$27)+(L68*$A$28)+(L69*$A$29)+(L70*$A$30)+(L71*$A$31)+(L72*$A$32))/100</f>
        <v>0.71658691895615689</v>
      </c>
      <c r="N65">
        <v>0</v>
      </c>
      <c r="O65" s="44">
        <f t="shared" ref="O65:O72" si="36">N65/$N$74*100</f>
        <v>0</v>
      </c>
      <c r="P65" s="13">
        <f>((O65*$A$25)+(O66*$A$26)+(O67*$A$27)+(O68*$A$28)+(O69*$A$29)+(O70*$A$30)+(O71*$A$31)+(O72*$A$32))/100</f>
        <v>0.78628404121033668</v>
      </c>
      <c r="Q65">
        <v>0</v>
      </c>
      <c r="R65" s="44">
        <f t="shared" ref="R65:R72" si="37">Q65/$Q$74*100</f>
        <v>0</v>
      </c>
      <c r="S65" s="13">
        <f>((R65*$A$25)+(R66*$A$26)+(R67*$A$27)+(R68*$A$28)+(R69*$A$29)+(R70*$A$30)+(R71*$A$31)+(R72*$A$32))/100</f>
        <v>0.50180572932116385</v>
      </c>
      <c r="T65">
        <v>0</v>
      </c>
      <c r="U65" s="44">
        <f t="shared" ref="U65:U72" si="38">T65/$T$74*100</f>
        <v>0</v>
      </c>
      <c r="V65" s="13">
        <f>((U65*$A$25)+(U66*$A$26)+(U67*$A$27)+(U68*$A$28)+(U69*$A$29)+(U70*$A$30)+(U71*$A$31)+(U72*$A$32))/100</f>
        <v>0.73139973662800661</v>
      </c>
      <c r="W65">
        <v>0</v>
      </c>
      <c r="X65" s="44">
        <f t="shared" ref="X65:X72" si="39">W65/$W$74*100</f>
        <v>0</v>
      </c>
      <c r="Y65" s="13">
        <f>((X65*$A$25)+(X66*$A$26)+(X67*$A$27)+(X68*$A$28)+(X69*$A$29)+(X70*$A$30)+(X71*$A$31)+(X72*$A$32))/100</f>
        <v>0.49506182725133635</v>
      </c>
      <c r="Z65">
        <v>93</v>
      </c>
      <c r="AA65" s="44">
        <f t="shared" ref="AA65:AA72" si="40">Z65/$Z$74*100</f>
        <v>9.3211590310003714E-2</v>
      </c>
      <c r="AB65" s="13">
        <f>((AA65*$A$25)+(AA66*$A$26)+(AA67*$A$27)+(AA68*$A$28)+(AA69*$A$29)+(AA70*$A$30)+(AA71*$A$31)+(AA72*$A$32))/100</f>
        <v>0.78703925079126302</v>
      </c>
      <c r="AC65">
        <v>0</v>
      </c>
      <c r="AD65" s="44">
        <f t="shared" ref="AD65:AD72" si="41">AC65/$AC$74*100</f>
        <v>0</v>
      </c>
      <c r="AE65" s="13">
        <f>((AD65*$A$25)+(AD66*$A$26)+(AD67*$A$27)+(AD68*$A$28)+(AD69*$A$29)+(AD70*$A$30)+(AD71*$A$31)+(AD72*$A$32))/100</f>
        <v>0.84097485544256112</v>
      </c>
      <c r="AF65">
        <v>0</v>
      </c>
      <c r="AG65" s="44">
        <f t="shared" ref="AG65:AG72" si="42">AF65/$AF$74*100</f>
        <v>0</v>
      </c>
      <c r="AH65" s="13">
        <f>((AG65*$A$25)+(AG66*$A$26)+(AG67*$A$27)+(AG68*$A$28)+(AG69*$A$29)+(AG70*$A$30)+(AG71*$A$31)+(AG72*$A$32))/100</f>
        <v>0.5632502311042189</v>
      </c>
      <c r="AI65">
        <v>0</v>
      </c>
      <c r="AJ65" s="44">
        <f t="shared" ref="AJ65:AJ72" si="43">AI65/$AI$74*100</f>
        <v>0</v>
      </c>
      <c r="AK65" s="13">
        <f>((AJ65*$A$25)+(AJ66*$A$26)+(AJ67*$A$27)+(AJ68*$A$28)+(AJ69*$A$29)+(AJ70*$A$30)+(AJ71*$A$31)+(AJ72*$A$32))/100</f>
        <v>1.3616633902009809</v>
      </c>
    </row>
    <row r="66" spans="1:37">
      <c r="A66" t="str">
        <f>+$Q$141</f>
        <v>Jackson, Mississippi</v>
      </c>
      <c r="B66" s="44">
        <f>$S$145</f>
        <v>0.95708794292533228</v>
      </c>
      <c r="C66" s="13">
        <f t="shared" si="21"/>
        <v>1.1754627378875566</v>
      </c>
      <c r="D66" s="36">
        <f t="shared" si="23"/>
        <v>0.99744781353973178</v>
      </c>
      <c r="E66" s="13">
        <f t="shared" si="22"/>
        <v>1.057916464098801</v>
      </c>
      <c r="F66">
        <v>6.5</v>
      </c>
      <c r="G66" s="44">
        <f t="shared" ref="G66:G80" si="44">F66*$F$23/$F$26*$F$25</f>
        <v>2.1269444444444443</v>
      </c>
      <c r="H66" s="20">
        <f t="shared" ref="H66:H80" si="45">2^(G66/$B$21)</f>
        <v>1.1588504872049772</v>
      </c>
      <c r="J66" s="7" t="s">
        <v>263</v>
      </c>
      <c r="K66">
        <v>4090</v>
      </c>
      <c r="L66" s="44">
        <f t="shared" si="35"/>
        <v>4.0773601834313622</v>
      </c>
      <c r="N66">
        <v>4690</v>
      </c>
      <c r="O66" s="44">
        <f t="shared" si="36"/>
        <v>4.6873750699608214</v>
      </c>
      <c r="Q66">
        <v>0</v>
      </c>
      <c r="R66" s="44">
        <f t="shared" si="37"/>
        <v>0</v>
      </c>
      <c r="T66">
        <v>1420</v>
      </c>
      <c r="U66" s="44">
        <f t="shared" si="38"/>
        <v>1.4282840474753571</v>
      </c>
      <c r="W66">
        <v>0</v>
      </c>
      <c r="X66" s="44">
        <f t="shared" si="39"/>
        <v>0</v>
      </c>
      <c r="Z66">
        <v>6163</v>
      </c>
      <c r="AA66" s="44">
        <f t="shared" si="40"/>
        <v>6.1770218395758372</v>
      </c>
      <c r="AC66">
        <v>782</v>
      </c>
      <c r="AD66" s="44">
        <f t="shared" si="41"/>
        <v>0.78910191725529766</v>
      </c>
      <c r="AF66">
        <v>496</v>
      </c>
      <c r="AG66" s="44">
        <f t="shared" si="42"/>
        <v>0.49482725939523325</v>
      </c>
      <c r="AI66">
        <v>17496</v>
      </c>
      <c r="AJ66" s="44">
        <f t="shared" si="43"/>
        <v>17.799118996510575</v>
      </c>
    </row>
    <row r="67" spans="1:37">
      <c r="A67" t="str">
        <f>+$N$201</f>
        <v>Fresno, CA</v>
      </c>
      <c r="B67" s="44">
        <f>$P$205</f>
        <v>0.95450902183924891</v>
      </c>
      <c r="C67" s="13">
        <f t="shared" si="21"/>
        <v>1.1722953950503061</v>
      </c>
      <c r="D67" s="36">
        <f t="shared" si="23"/>
        <v>0.99568874698271392</v>
      </c>
      <c r="E67" s="13">
        <f t="shared" si="22"/>
        <v>1.0550658555452754</v>
      </c>
      <c r="F67">
        <v>7.5</v>
      </c>
      <c r="G67" s="44">
        <f t="shared" si="44"/>
        <v>2.4541666666666666</v>
      </c>
      <c r="H67" s="20">
        <f t="shared" si="45"/>
        <v>1.1854350885855089</v>
      </c>
      <c r="J67" s="7" t="s">
        <v>264</v>
      </c>
      <c r="K67">
        <v>11516</v>
      </c>
      <c r="L67" s="44">
        <f t="shared" si="35"/>
        <v>11.480410726747085</v>
      </c>
      <c r="N67">
        <v>15933</v>
      </c>
      <c r="O67" s="44">
        <f t="shared" si="36"/>
        <v>15.924082513792277</v>
      </c>
      <c r="Q67">
        <v>977</v>
      </c>
      <c r="R67" s="44">
        <f t="shared" si="37"/>
        <v>0.97237151160476132</v>
      </c>
      <c r="T67">
        <v>8111</v>
      </c>
      <c r="U67" s="44">
        <f t="shared" si="38"/>
        <v>8.1583182458257895</v>
      </c>
      <c r="W67">
        <v>1293</v>
      </c>
      <c r="X67" s="44">
        <f t="shared" si="39"/>
        <v>1.2865799659698105</v>
      </c>
      <c r="Z67">
        <v>15382</v>
      </c>
      <c r="AA67" s="44">
        <f t="shared" si="40"/>
        <v>15.416996582241687</v>
      </c>
      <c r="AC67">
        <v>10188</v>
      </c>
      <c r="AD67" s="44">
        <f t="shared" si="41"/>
        <v>10.280524722502522</v>
      </c>
      <c r="AF67">
        <v>3855</v>
      </c>
      <c r="AG67" s="44">
        <f t="shared" si="42"/>
        <v>3.8458852519528719</v>
      </c>
      <c r="AI67">
        <v>40401</v>
      </c>
      <c r="AJ67" s="44">
        <f t="shared" si="43"/>
        <v>41.100949164267476</v>
      </c>
    </row>
    <row r="68" spans="1:37">
      <c r="A68" t="str">
        <f>+$Q$21</f>
        <v>Memphis, TN</v>
      </c>
      <c r="B68" s="44">
        <f>$S$25</f>
        <v>0.94135819096055984</v>
      </c>
      <c r="C68" s="13">
        <f t="shared" si="21"/>
        <v>1.1561439935156552</v>
      </c>
      <c r="D68" s="36">
        <f t="shared" si="23"/>
        <v>0.98671864436091039</v>
      </c>
      <c r="E68" s="13">
        <f t="shared" si="22"/>
        <v>1.0405295941640897</v>
      </c>
      <c r="F68">
        <v>6.5</v>
      </c>
      <c r="G68" s="44">
        <f t="shared" si="44"/>
        <v>2.1269444444444443</v>
      </c>
      <c r="H68" s="20">
        <f t="shared" si="45"/>
        <v>1.1588504872049772</v>
      </c>
      <c r="J68" s="7" t="s">
        <v>265</v>
      </c>
      <c r="K68">
        <v>17521</v>
      </c>
      <c r="L68" s="44">
        <f t="shared" si="35"/>
        <v>17.46685275645499</v>
      </c>
      <c r="N68">
        <v>18026</v>
      </c>
      <c r="O68" s="44">
        <f t="shared" si="36"/>
        <v>18.015911089789718</v>
      </c>
      <c r="Q68">
        <v>8516</v>
      </c>
      <c r="R68" s="44">
        <f t="shared" si="37"/>
        <v>8.4756558780206213</v>
      </c>
      <c r="T68">
        <v>17516</v>
      </c>
      <c r="U68" s="44">
        <f t="shared" si="38"/>
        <v>17.618185475759404</v>
      </c>
      <c r="W68">
        <v>6435</v>
      </c>
      <c r="X68" s="44">
        <f t="shared" si="39"/>
        <v>6.4030487865550905</v>
      </c>
      <c r="Z68">
        <v>16689</v>
      </c>
      <c r="AA68" s="44">
        <f t="shared" si="40"/>
        <v>16.726970222404859</v>
      </c>
      <c r="AC68">
        <v>36510</v>
      </c>
      <c r="AD68" s="44">
        <f t="shared" si="41"/>
        <v>36.841574167507567</v>
      </c>
      <c r="AF68">
        <v>12092</v>
      </c>
      <c r="AG68" s="44">
        <f t="shared" si="42"/>
        <v>12.063409718966051</v>
      </c>
      <c r="AI68">
        <v>21788</v>
      </c>
      <c r="AJ68" s="44">
        <f t="shared" si="43"/>
        <v>22.165478091905143</v>
      </c>
    </row>
    <row r="69" spans="1:37">
      <c r="A69" t="str">
        <f>+$Z$101</f>
        <v>Palmdale, CA</v>
      </c>
      <c r="B69" s="44">
        <f>$AB$105</f>
        <v>0.91341613009508205</v>
      </c>
      <c r="C69" s="13">
        <f t="shared" si="21"/>
        <v>1.1218265082626644</v>
      </c>
      <c r="D69" s="36">
        <f t="shared" si="23"/>
        <v>0.96765953275495209</v>
      </c>
      <c r="E69" s="13">
        <f t="shared" si="22"/>
        <v>1.009643857436398</v>
      </c>
      <c r="F69">
        <v>7.5</v>
      </c>
      <c r="G69" s="44">
        <f t="shared" si="44"/>
        <v>2.4541666666666666</v>
      </c>
      <c r="H69" s="20">
        <f t="shared" si="45"/>
        <v>1.1854350885855089</v>
      </c>
      <c r="J69" s="7" t="s">
        <v>266</v>
      </c>
      <c r="K69">
        <v>26204</v>
      </c>
      <c r="L69" s="44">
        <f t="shared" si="35"/>
        <v>26.12301864220915</v>
      </c>
      <c r="N69">
        <v>24865</v>
      </c>
      <c r="O69" s="44">
        <f t="shared" si="36"/>
        <v>24.851083393299753</v>
      </c>
      <c r="Q69">
        <v>39308</v>
      </c>
      <c r="R69" s="44">
        <f t="shared" si="37"/>
        <v>39.121780325649908</v>
      </c>
      <c r="T69">
        <v>55801</v>
      </c>
      <c r="U69" s="44">
        <f t="shared" si="38"/>
        <v>56.126533896600286</v>
      </c>
      <c r="W69">
        <v>41403</v>
      </c>
      <c r="X69" s="44">
        <f t="shared" si="39"/>
        <v>41.197424849998512</v>
      </c>
      <c r="Z69">
        <v>22359</v>
      </c>
      <c r="AA69" s="44">
        <f t="shared" si="40"/>
        <v>22.409870405821213</v>
      </c>
      <c r="AC69">
        <v>45077</v>
      </c>
      <c r="AD69" s="44">
        <f t="shared" si="41"/>
        <v>45.486377396569125</v>
      </c>
      <c r="AF69">
        <v>37833</v>
      </c>
      <c r="AG69" s="44">
        <f t="shared" si="42"/>
        <v>37.74354779173359</v>
      </c>
      <c r="AI69">
        <v>17121</v>
      </c>
      <c r="AJ69" s="44">
        <f t="shared" si="43"/>
        <v>17.417622104438589</v>
      </c>
    </row>
    <row r="70" spans="1:37">
      <c r="A70" t="str">
        <f>+$AI$121</f>
        <v>Little Rock, Arkansas</v>
      </c>
      <c r="B70" s="44">
        <f>$AK$125</f>
        <v>0.90855082681361887</v>
      </c>
      <c r="C70" s="13">
        <f t="shared" si="21"/>
        <v>1.1158511088668659</v>
      </c>
      <c r="D70" s="36">
        <f t="shared" si="23"/>
        <v>0.96434093865823656</v>
      </c>
      <c r="E70" s="13">
        <f t="shared" si="22"/>
        <v>1.0042659979801793</v>
      </c>
      <c r="F70">
        <v>6.5</v>
      </c>
      <c r="G70" s="44">
        <f t="shared" si="44"/>
        <v>2.1269444444444443</v>
      </c>
      <c r="H70" s="20">
        <f t="shared" si="45"/>
        <v>1.1588504872049772</v>
      </c>
      <c r="J70" s="7" t="s">
        <v>267</v>
      </c>
      <c r="K70">
        <v>29292</v>
      </c>
      <c r="L70" s="44">
        <f t="shared" si="35"/>
        <v>29.201475426178845</v>
      </c>
      <c r="N70">
        <v>28813</v>
      </c>
      <c r="O70" s="44">
        <f t="shared" si="36"/>
        <v>28.796873750699607</v>
      </c>
      <c r="Q70">
        <v>47089</v>
      </c>
      <c r="R70" s="44">
        <f t="shared" si="37"/>
        <v>46.865918229228868</v>
      </c>
      <c r="T70">
        <v>16538</v>
      </c>
      <c r="U70" s="44">
        <f t="shared" si="38"/>
        <v>16.634479983906658</v>
      </c>
      <c r="W70">
        <v>45275</v>
      </c>
      <c r="X70" s="44">
        <f t="shared" si="39"/>
        <v>45.05019950447268</v>
      </c>
      <c r="Z70">
        <v>25153</v>
      </c>
      <c r="AA70" s="44">
        <f t="shared" si="40"/>
        <v>25.210227215779817</v>
      </c>
      <c r="AC70">
        <v>6543</v>
      </c>
      <c r="AD70" s="44">
        <f t="shared" si="41"/>
        <v>6.6024217961654887</v>
      </c>
      <c r="AF70">
        <v>40355</v>
      </c>
      <c r="AG70" s="44">
        <f t="shared" si="42"/>
        <v>40.259584784061772</v>
      </c>
      <c r="AI70">
        <v>1491</v>
      </c>
      <c r="AJ70" s="44">
        <f t="shared" si="43"/>
        <v>1.516831642878216</v>
      </c>
    </row>
    <row r="71" spans="1:37">
      <c r="A71" t="str">
        <f>+$K$121</f>
        <v>Ontario Intl Airport</v>
      </c>
      <c r="B71" s="44">
        <f>$M$125</f>
        <v>0.89832724029066791</v>
      </c>
      <c r="C71" s="13">
        <f t="shared" si="21"/>
        <v>1.1032948489179975</v>
      </c>
      <c r="D71" s="36">
        <f t="shared" si="23"/>
        <v>0.95736749180003322</v>
      </c>
      <c r="E71" s="13">
        <f t="shared" si="22"/>
        <v>0.99296536402619784</v>
      </c>
      <c r="F71">
        <v>7.5</v>
      </c>
      <c r="G71" s="44">
        <f t="shared" si="44"/>
        <v>2.4541666666666666</v>
      </c>
      <c r="H71" s="20">
        <f t="shared" si="45"/>
        <v>1.1854350885855089</v>
      </c>
      <c r="J71" s="7" t="s">
        <v>268</v>
      </c>
      <c r="K71">
        <v>11322</v>
      </c>
      <c r="L71" s="44">
        <f t="shared" si="35"/>
        <v>11.287010268168677</v>
      </c>
      <c r="N71">
        <v>7547</v>
      </c>
      <c r="O71" s="44">
        <f t="shared" si="36"/>
        <v>7.542776045414568</v>
      </c>
      <c r="Q71">
        <v>4551</v>
      </c>
      <c r="R71" s="44">
        <f t="shared" si="37"/>
        <v>4.5294398662367135</v>
      </c>
      <c r="T71">
        <v>34</v>
      </c>
      <c r="U71" s="44">
        <f t="shared" si="38"/>
        <v>3.4198350432508552E-2</v>
      </c>
      <c r="W71">
        <v>6030</v>
      </c>
      <c r="X71" s="44">
        <f t="shared" si="39"/>
        <v>6.0000597020865882</v>
      </c>
      <c r="Z71">
        <v>11529</v>
      </c>
      <c r="AA71" s="44">
        <f t="shared" si="40"/>
        <v>11.555230372946589</v>
      </c>
      <c r="AC71">
        <v>0</v>
      </c>
      <c r="AD71" s="44">
        <f t="shared" si="41"/>
        <v>0</v>
      </c>
      <c r="AF71">
        <v>5558</v>
      </c>
      <c r="AG71" s="44">
        <f t="shared" si="42"/>
        <v>5.5448586849167469</v>
      </c>
      <c r="AI71">
        <v>0</v>
      </c>
      <c r="AJ71" s="44">
        <f t="shared" si="43"/>
        <v>0</v>
      </c>
    </row>
    <row r="72" spans="1:37">
      <c r="A72" t="str">
        <f>+$AC$41</f>
        <v>Van Nuys, CA</v>
      </c>
      <c r="B72" s="44">
        <f>$AE$45</f>
        <v>0.89192389497425428</v>
      </c>
      <c r="C72" s="13">
        <f t="shared" si="21"/>
        <v>1.095430478801428</v>
      </c>
      <c r="D72" s="36">
        <f t="shared" si="23"/>
        <v>0.95299980848474142</v>
      </c>
      <c r="E72" s="13">
        <f t="shared" si="22"/>
        <v>0.98588743092128528</v>
      </c>
      <c r="F72">
        <v>7.5</v>
      </c>
      <c r="G72" s="44">
        <f t="shared" si="44"/>
        <v>2.4541666666666666</v>
      </c>
      <c r="H72" s="20">
        <f t="shared" si="45"/>
        <v>1.1854350885855089</v>
      </c>
      <c r="J72" s="7" t="s">
        <v>269</v>
      </c>
      <c r="K72">
        <v>365</v>
      </c>
      <c r="L72" s="44">
        <f t="shared" si="35"/>
        <v>0.36387199680988935</v>
      </c>
      <c r="N72">
        <v>182</v>
      </c>
      <c r="O72" s="44">
        <f t="shared" si="36"/>
        <v>0.18189813704325578</v>
      </c>
      <c r="Q72">
        <v>35</v>
      </c>
      <c r="R72" s="44">
        <f t="shared" si="37"/>
        <v>3.4834189259126555E-2</v>
      </c>
      <c r="T72">
        <v>0</v>
      </c>
      <c r="U72" s="44">
        <f t="shared" si="38"/>
        <v>0</v>
      </c>
      <c r="W72">
        <v>63</v>
      </c>
      <c r="X72" s="44">
        <f t="shared" si="39"/>
        <v>6.2687190917322555E-2</v>
      </c>
      <c r="Z72">
        <v>2405</v>
      </c>
      <c r="AA72" s="44">
        <f t="shared" si="40"/>
        <v>2.4104717709199885</v>
      </c>
      <c r="AC72">
        <v>0</v>
      </c>
      <c r="AD72" s="44">
        <f t="shared" si="41"/>
        <v>0</v>
      </c>
      <c r="AF72">
        <v>48</v>
      </c>
      <c r="AG72" s="44">
        <f t="shared" si="42"/>
        <v>4.7886508973732256E-2</v>
      </c>
      <c r="AI72">
        <v>0</v>
      </c>
      <c r="AJ72" s="44">
        <f t="shared" si="43"/>
        <v>0</v>
      </c>
    </row>
    <row r="73" spans="1:37">
      <c r="A73" t="str">
        <f>+$AI$101</f>
        <v>Riverside, CA</v>
      </c>
      <c r="B73" s="44">
        <f>$AK$105</f>
        <v>0.89010291596838753</v>
      </c>
      <c r="C73" s="13">
        <f t="shared" ref="C73:C104" si="46">B73/$F$32</f>
        <v>1.0931940145520409</v>
      </c>
      <c r="D73" s="36">
        <f t="shared" si="23"/>
        <v>0.95175772966056271</v>
      </c>
      <c r="E73" s="13">
        <f t="shared" si="22"/>
        <v>0.98387461309683688</v>
      </c>
      <c r="F73">
        <v>9</v>
      </c>
      <c r="G73" s="44">
        <f t="shared" si="44"/>
        <v>2.9449999999999998</v>
      </c>
      <c r="H73" s="20">
        <f t="shared" si="45"/>
        <v>1.2264598449964383</v>
      </c>
    </row>
    <row r="74" spans="1:37">
      <c r="A74" t="str">
        <f>+$Q$181</f>
        <v>Visalia, CA</v>
      </c>
      <c r="B74" s="44">
        <f>$S$185</f>
        <v>0.8874808303945726</v>
      </c>
      <c r="C74" s="13">
        <f t="shared" si="46"/>
        <v>1.0899736585645323</v>
      </c>
      <c r="D74" s="36">
        <f t="shared" si="23"/>
        <v>0.94996922086615765</v>
      </c>
      <c r="E74" s="13">
        <f t="shared" si="22"/>
        <v>0.98097629270807896</v>
      </c>
      <c r="F74">
        <v>7.5</v>
      </c>
      <c r="G74" s="44">
        <f t="shared" si="44"/>
        <v>2.4541666666666666</v>
      </c>
      <c r="H74" s="20">
        <f t="shared" si="45"/>
        <v>1.1854350885855089</v>
      </c>
      <c r="K74">
        <f>SUM(K65:K72)</f>
        <v>100310</v>
      </c>
      <c r="L74">
        <f>SUM(L65:L72)</f>
        <v>100</v>
      </c>
      <c r="N74">
        <f>SUM(N65:N72)</f>
        <v>100056</v>
      </c>
      <c r="O74">
        <f>SUM(O65:O72)</f>
        <v>100.00000000000001</v>
      </c>
      <c r="Q74">
        <f>SUM(Q65:Q72)</f>
        <v>100476</v>
      </c>
      <c r="R74">
        <f>SUM(R65:R72)</f>
        <v>100</v>
      </c>
      <c r="T74">
        <f>SUM(T65:T72)</f>
        <v>99420</v>
      </c>
      <c r="U74">
        <f>SUM(U65:U72)</f>
        <v>100</v>
      </c>
      <c r="W74">
        <f>SUM(W65:W72)</f>
        <v>100499</v>
      </c>
      <c r="X74">
        <f>SUM(X65:X72)</f>
        <v>100</v>
      </c>
      <c r="Z74">
        <f>SUM(Z65:Z72)</f>
        <v>99773</v>
      </c>
      <c r="AA74">
        <f>SUM(AA65:AA72)</f>
        <v>99.999999999999986</v>
      </c>
      <c r="AC74">
        <f>SUM(AC65:AC72)</f>
        <v>99100</v>
      </c>
      <c r="AD74">
        <f>SUM(AD65:AD72)</f>
        <v>100</v>
      </c>
      <c r="AF74">
        <f>SUM(AF65:AF72)</f>
        <v>100237</v>
      </c>
      <c r="AG74">
        <f>SUM(AG65:AG72)</f>
        <v>100</v>
      </c>
      <c r="AI74">
        <f>SUM(AI65:AI72)</f>
        <v>98297</v>
      </c>
      <c r="AJ74">
        <f>SUM(AJ65:AJ72)</f>
        <v>100</v>
      </c>
    </row>
    <row r="75" spans="1:37">
      <c r="A75" t="str">
        <f>+$AI$161</f>
        <v>Tulsa, OK</v>
      </c>
      <c r="B75" s="44">
        <f>$AK$165</f>
        <v>0.88257694641296713</v>
      </c>
      <c r="C75" s="13">
        <f t="shared" si="46"/>
        <v>1.083950875669909</v>
      </c>
      <c r="D75" s="36">
        <f t="shared" si="23"/>
        <v>0.94662431110599154</v>
      </c>
      <c r="E75" s="13">
        <f t="shared" si="22"/>
        <v>0.97555578810291799</v>
      </c>
      <c r="F75">
        <v>6.5</v>
      </c>
      <c r="G75" s="44">
        <f t="shared" si="44"/>
        <v>2.1269444444444443</v>
      </c>
      <c r="H75" s="20">
        <f t="shared" si="45"/>
        <v>1.1588504872049772</v>
      </c>
    </row>
    <row r="76" spans="1:37">
      <c r="A76" t="str">
        <f>+$Q$41</f>
        <v>Modesto, CA</v>
      </c>
      <c r="B76" s="44">
        <f>$S$45</f>
        <v>0.87734781055829769</v>
      </c>
      <c r="C76" s="13">
        <f t="shared" si="46"/>
        <v>1.0775286295284221</v>
      </c>
      <c r="D76" s="36">
        <f t="shared" si="23"/>
        <v>0.94305754900005123</v>
      </c>
      <c r="E76" s="13">
        <f t="shared" si="22"/>
        <v>0.96977576657557996</v>
      </c>
      <c r="F76">
        <v>7.5</v>
      </c>
      <c r="G76" s="44">
        <f t="shared" si="44"/>
        <v>2.4541666666666666</v>
      </c>
      <c r="H76" s="20">
        <f t="shared" si="45"/>
        <v>1.1854350885855089</v>
      </c>
      <c r="J76" s="7" t="s">
        <v>270</v>
      </c>
      <c r="K76">
        <v>99301</v>
      </c>
      <c r="N76">
        <v>99301</v>
      </c>
      <c r="Q76">
        <v>99301</v>
      </c>
      <c r="T76">
        <v>99301</v>
      </c>
      <c r="W76">
        <v>99301</v>
      </c>
      <c r="Z76">
        <v>99301</v>
      </c>
      <c r="AC76">
        <v>99301</v>
      </c>
      <c r="AF76">
        <v>99301</v>
      </c>
      <c r="AI76">
        <v>99301</v>
      </c>
    </row>
    <row r="77" spans="1:37">
      <c r="A77" t="str">
        <f>+$T$181</f>
        <v>Burbank, CA</v>
      </c>
      <c r="B77" s="44">
        <f>$V$185</f>
        <v>0.86982941334794583</v>
      </c>
      <c r="C77" s="13">
        <f t="shared" si="46"/>
        <v>1.0682947907419944</v>
      </c>
      <c r="D77" s="36">
        <f t="shared" si="23"/>
        <v>0.93792929549649318</v>
      </c>
      <c r="E77" s="13">
        <f t="shared" si="22"/>
        <v>0.96146531166779492</v>
      </c>
      <c r="F77">
        <v>7.5</v>
      </c>
      <c r="G77" s="44">
        <f t="shared" si="44"/>
        <v>2.4541666666666666</v>
      </c>
      <c r="H77" s="20">
        <f t="shared" si="45"/>
        <v>1.1854350885855089</v>
      </c>
    </row>
    <row r="78" spans="1:37">
      <c r="A78" t="str">
        <f>+$W$81</f>
        <v>Atlanta, Georgia</v>
      </c>
      <c r="B78" s="44">
        <f>$Y$85</f>
        <v>0.86884582393450804</v>
      </c>
      <c r="C78" s="13">
        <f t="shared" si="46"/>
        <v>1.0670867798027457</v>
      </c>
      <c r="D78" s="36">
        <f t="shared" si="23"/>
        <v>0.93725839507524655</v>
      </c>
      <c r="E78" s="13">
        <f t="shared" si="22"/>
        <v>0.96037810182247119</v>
      </c>
      <c r="F78">
        <v>6.5</v>
      </c>
      <c r="G78" s="44">
        <f t="shared" si="44"/>
        <v>2.1269444444444443</v>
      </c>
      <c r="H78" s="20">
        <f t="shared" si="45"/>
        <v>1.1588504872049772</v>
      </c>
      <c r="J78" s="7" t="s">
        <v>271</v>
      </c>
      <c r="K78" s="50">
        <f>((K74/K76)-1)</f>
        <v>1.0161025568725446E-2</v>
      </c>
      <c r="N78" s="50">
        <f>((N74/N76)-1)</f>
        <v>7.6031459904735144E-3</v>
      </c>
      <c r="Q78" s="50">
        <f>((Q74/Q76)-1)</f>
        <v>1.1832710647425415E-2</v>
      </c>
      <c r="T78" s="50">
        <f>((T74/T76)-1)</f>
        <v>1.1983766528032014E-3</v>
      </c>
      <c r="W78" s="50">
        <f>((W74/W76)-1)</f>
        <v>1.206432966435389E-2</v>
      </c>
      <c r="Z78" s="50">
        <f>((Z74/Z76)-1)</f>
        <v>4.7532250430508682E-3</v>
      </c>
      <c r="AC78" s="50">
        <f>((AC74/AC76)-1)</f>
        <v>-2.0241488001128127E-3</v>
      </c>
      <c r="AF78" s="50">
        <f>((AF74/AF76)-1)</f>
        <v>9.4258869497789721E-3</v>
      </c>
      <c r="AI78" s="50">
        <f>((AI74/AI76)-1)</f>
        <v>-1.0110673608523579E-2</v>
      </c>
    </row>
    <row r="79" spans="1:37">
      <c r="A79" t="str">
        <f>+$AI$81</f>
        <v>Oklahoma City, OK</v>
      </c>
      <c r="B79" s="44">
        <f>$AK$85</f>
        <v>0.8680282868257162</v>
      </c>
      <c r="C79" s="13">
        <f t="shared" si="46"/>
        <v>1.0660827086352749</v>
      </c>
      <c r="D79" s="36">
        <f t="shared" si="23"/>
        <v>0.93670075793196306</v>
      </c>
      <c r="E79" s="13">
        <f t="shared" si="22"/>
        <v>0.95947443777174746</v>
      </c>
      <c r="F79">
        <v>7.5</v>
      </c>
      <c r="G79" s="44">
        <f t="shared" si="44"/>
        <v>2.4541666666666666</v>
      </c>
      <c r="H79" s="20">
        <f t="shared" si="45"/>
        <v>1.1854350885855089</v>
      </c>
    </row>
    <row r="80" spans="1:37">
      <c r="A80" t="str">
        <f>+$K$41</f>
        <v>Anaheim, CA</v>
      </c>
      <c r="B80" s="44">
        <f>$M$45</f>
        <v>0.86449389344046823</v>
      </c>
      <c r="C80" s="13">
        <f t="shared" si="46"/>
        <v>1.0617418873386479</v>
      </c>
      <c r="D80" s="36">
        <f t="shared" si="23"/>
        <v>0.93428996946818055</v>
      </c>
      <c r="E80" s="13">
        <f t="shared" si="22"/>
        <v>0.95556769860478319</v>
      </c>
      <c r="F80">
        <v>7.5</v>
      </c>
      <c r="G80" s="44">
        <f t="shared" si="44"/>
        <v>2.4541666666666666</v>
      </c>
      <c r="H80" s="20">
        <f t="shared" si="45"/>
        <v>1.1854350885855089</v>
      </c>
    </row>
    <row r="81" spans="1:37">
      <c r="A81" t="str">
        <f>+$AC$61</f>
        <v>Sydney, Australia</v>
      </c>
      <c r="B81" s="44">
        <f>$AE$65</f>
        <v>0.84097485544256112</v>
      </c>
      <c r="C81" s="13">
        <f t="shared" si="46"/>
        <v>1.0328566077759336</v>
      </c>
      <c r="D81" s="36">
        <f t="shared" si="23"/>
        <v>0.91824777514955414</v>
      </c>
      <c r="E81" s="13">
        <f t="shared" si="22"/>
        <v>0.92957094699834031</v>
      </c>
      <c r="F81">
        <v>0</v>
      </c>
      <c r="G81" s="44">
        <v>0</v>
      </c>
      <c r="H81" s="20">
        <v>1</v>
      </c>
      <c r="J81" s="7"/>
      <c r="K81" s="7" t="s">
        <v>208</v>
      </c>
      <c r="L81" s="7"/>
      <c r="M81" s="7"/>
      <c r="N81" s="7" t="s">
        <v>209</v>
      </c>
      <c r="O81" s="7"/>
      <c r="P81" s="7"/>
      <c r="Q81" s="7" t="s">
        <v>210</v>
      </c>
      <c r="R81" s="7"/>
      <c r="S81" s="7"/>
      <c r="T81" s="7" t="s">
        <v>211</v>
      </c>
      <c r="U81" s="7"/>
      <c r="V81" s="7"/>
      <c r="W81" s="7" t="s">
        <v>212</v>
      </c>
      <c r="X81" s="7"/>
      <c r="Y81" s="7"/>
      <c r="Z81" s="7" t="s">
        <v>213</v>
      </c>
      <c r="AA81" s="7"/>
      <c r="AB81" s="7"/>
      <c r="AC81" s="7" t="s">
        <v>214</v>
      </c>
      <c r="AD81" s="7"/>
      <c r="AE81" s="7"/>
      <c r="AF81" s="7" t="s">
        <v>86</v>
      </c>
      <c r="AG81" s="7"/>
      <c r="AH81" s="7"/>
      <c r="AI81" s="7" t="s">
        <v>215</v>
      </c>
      <c r="AJ81" s="7"/>
      <c r="AK81" s="7"/>
    </row>
    <row r="82" spans="1:37">
      <c r="A82" t="str">
        <f>+$T$81</f>
        <v>Charlotte, NC</v>
      </c>
      <c r="B82" s="44">
        <f>$V$85</f>
        <v>0.83121575724625185</v>
      </c>
      <c r="C82" s="13">
        <f t="shared" si="46"/>
        <v>1.0208708165328795</v>
      </c>
      <c r="D82" s="36">
        <f t="shared" si="23"/>
        <v>0.9115911529844094</v>
      </c>
      <c r="E82" s="13">
        <f t="shared" si="22"/>
        <v>0.91878373487959153</v>
      </c>
      <c r="F82">
        <v>6.5</v>
      </c>
      <c r="G82" s="44">
        <f>F82*$F$23/$F$26*$F$25</f>
        <v>2.1269444444444443</v>
      </c>
      <c r="H82" s="20">
        <f>2^(G82/$B$21)</f>
        <v>1.1588504872049772</v>
      </c>
      <c r="M82" s="28" t="s">
        <v>149</v>
      </c>
      <c r="P82" s="28" t="s">
        <v>149</v>
      </c>
      <c r="S82" s="28" t="s">
        <v>149</v>
      </c>
      <c r="V82" s="28" t="s">
        <v>149</v>
      </c>
      <c r="Y82" s="28" t="s">
        <v>149</v>
      </c>
      <c r="AB82" s="28" t="s">
        <v>149</v>
      </c>
      <c r="AE82" s="28" t="s">
        <v>149</v>
      </c>
      <c r="AH82" s="28" t="s">
        <v>149</v>
      </c>
      <c r="AK82" s="28" t="s">
        <v>149</v>
      </c>
    </row>
    <row r="83" spans="1:37">
      <c r="A83" t="str">
        <f>+$W$1</f>
        <v>Nashville, TN</v>
      </c>
      <c r="B83" s="44">
        <f>$Y$5</f>
        <v>0.82797418603264428</v>
      </c>
      <c r="C83" s="13">
        <f t="shared" si="46"/>
        <v>1.0168896294309311</v>
      </c>
      <c r="D83" s="36">
        <f t="shared" si="23"/>
        <v>0.90938009676216991</v>
      </c>
      <c r="E83" s="13">
        <f t="shared" si="22"/>
        <v>0.91520066648783793</v>
      </c>
      <c r="F83">
        <v>6.5</v>
      </c>
      <c r="G83" s="44">
        <f>F83*$F$23/$F$26*$F$25</f>
        <v>2.1269444444444443</v>
      </c>
      <c r="H83" s="20">
        <f>2^(G83/$B$21)</f>
        <v>1.1588504872049772</v>
      </c>
      <c r="J83" s="7" t="s">
        <v>260</v>
      </c>
      <c r="K83" t="s">
        <v>261</v>
      </c>
      <c r="L83" t="s">
        <v>54</v>
      </c>
      <c r="M83" s="28" t="s">
        <v>73</v>
      </c>
      <c r="N83" t="s">
        <v>261</v>
      </c>
      <c r="O83" t="s">
        <v>54</v>
      </c>
      <c r="P83" s="28" t="s">
        <v>73</v>
      </c>
      <c r="Q83" t="s">
        <v>261</v>
      </c>
      <c r="R83" t="s">
        <v>54</v>
      </c>
      <c r="S83" s="28" t="s">
        <v>73</v>
      </c>
      <c r="T83" t="s">
        <v>261</v>
      </c>
      <c r="U83" t="s">
        <v>54</v>
      </c>
      <c r="V83" s="28" t="s">
        <v>73</v>
      </c>
      <c r="W83" t="s">
        <v>261</v>
      </c>
      <c r="X83" t="s">
        <v>54</v>
      </c>
      <c r="Y83" s="28" t="s">
        <v>73</v>
      </c>
      <c r="Z83" t="s">
        <v>261</v>
      </c>
      <c r="AA83" t="s">
        <v>54</v>
      </c>
      <c r="AB83" s="28" t="s">
        <v>73</v>
      </c>
      <c r="AC83" t="s">
        <v>261</v>
      </c>
      <c r="AD83" t="s">
        <v>54</v>
      </c>
      <c r="AE83" s="28" t="s">
        <v>73</v>
      </c>
      <c r="AF83" t="s">
        <v>261</v>
      </c>
      <c r="AG83" t="s">
        <v>54</v>
      </c>
      <c r="AH83" s="28" t="s">
        <v>73</v>
      </c>
      <c r="AI83" t="s">
        <v>261</v>
      </c>
      <c r="AJ83" t="s">
        <v>54</v>
      </c>
      <c r="AK83" s="28" t="s">
        <v>73</v>
      </c>
    </row>
    <row r="84" spans="1:37">
      <c r="A84" t="str">
        <f>+$W$161</f>
        <v>Norfolk, VA</v>
      </c>
      <c r="B84" s="44">
        <f>$Y$165</f>
        <v>0.82223332852273634</v>
      </c>
      <c r="C84" s="13">
        <f t="shared" si="46"/>
        <v>1.0098389042219258</v>
      </c>
      <c r="D84" s="36">
        <f t="shared" si="23"/>
        <v>0.90546429239390946</v>
      </c>
      <c r="E84" s="13">
        <f t="shared" si="22"/>
        <v>0.90885501379973321</v>
      </c>
      <c r="F84">
        <v>6.5</v>
      </c>
      <c r="G84" s="44">
        <f>F84*$F$23/$F$26*$F$25</f>
        <v>2.1269444444444443</v>
      </c>
      <c r="H84" s="20">
        <f>2^(G84/$B$21)</f>
        <v>1.1588504872049772</v>
      </c>
    </row>
    <row r="85" spans="1:37">
      <c r="A85" t="str">
        <f>+$AF$161</f>
        <v>Raleigh, NC</v>
      </c>
      <c r="B85" s="44">
        <f>$AH$165</f>
        <v>0.81465800010816058</v>
      </c>
      <c r="C85" s="13">
        <f t="shared" si="46"/>
        <v>1.00053514447402</v>
      </c>
      <c r="D85" s="36">
        <f t="shared" si="23"/>
        <v>0.90029720645847067</v>
      </c>
      <c r="E85" s="13">
        <f t="shared" si="22"/>
        <v>0.90048163002661796</v>
      </c>
      <c r="F85">
        <v>6.5</v>
      </c>
      <c r="G85" s="44">
        <f>F85*$F$23/$F$26*$F$25</f>
        <v>2.1269444444444443</v>
      </c>
      <c r="H85" s="20">
        <f>2^(G85/$B$21)</f>
        <v>1.1588504872049772</v>
      </c>
      <c r="J85" s="7" t="s">
        <v>262</v>
      </c>
      <c r="K85">
        <v>0</v>
      </c>
      <c r="L85" s="44">
        <f t="shared" ref="L85:L92" si="47">K85/$K$94*100</f>
        <v>0</v>
      </c>
      <c r="M85" s="13">
        <f>((L85*$A$25)+(L86*$A$26)+(L87*$A$27)+(L88*$A$28)+(L89*$A$29)+(L90*$A$30)+(L91*$A$31)+(L92*$A$32))/100</f>
        <v>0.65383817380850684</v>
      </c>
      <c r="N85">
        <v>0</v>
      </c>
      <c r="O85" s="44">
        <f t="shared" ref="O85:O92" si="48">N85/$N$94*100</f>
        <v>0</v>
      </c>
      <c r="P85" s="13">
        <f>((O85*$A$25)+(O86*$A$26)+(O87*$A$27)+(O88*$A$28)+(O89*$A$29)+(O90*$A$30)+(O91*$A$31)+(O92*$A$32))/100</f>
        <v>0.5561878267359045</v>
      </c>
      <c r="Q85">
        <v>0</v>
      </c>
      <c r="R85" s="44">
        <f t="shared" ref="R85:R92" si="49">Q85/$Q$94*100</f>
        <v>0</v>
      </c>
      <c r="S85" s="13">
        <f>((R85*$A$25)+(R86*$A$26)+(R87*$A$27)+(R88*$A$28)+(R89*$A$29)+(R90*$A$30)+(R91*$A$31)+(R92*$A$32))/100</f>
        <v>0.74580545569607881</v>
      </c>
      <c r="T85">
        <v>0</v>
      </c>
      <c r="U85" s="44">
        <f t="shared" ref="U85:U92" si="50">T85/$T$94*100</f>
        <v>0</v>
      </c>
      <c r="V85" s="13">
        <f>((U85*$A$25)+(U86*$A$26)+(U87*$A$27)+(U88*$A$28)+(U89*$A$29)+(U90*$A$30)+(U91*$A$31)+(U92*$A$32))/100</f>
        <v>0.83121575724625185</v>
      </c>
      <c r="W85">
        <v>0</v>
      </c>
      <c r="X85" s="44">
        <f t="shared" ref="X85:X92" si="51">W85/$W$94*100</f>
        <v>0</v>
      </c>
      <c r="Y85" s="13">
        <f>((X85*$A$25)+(X86*$A$26)+(X87*$A$27)+(X88*$A$28)+(X89*$A$29)+(X90*$A$30)+(X91*$A$31)+(X92*$A$32))/100</f>
        <v>0.86884582393450804</v>
      </c>
      <c r="Z85">
        <v>0</v>
      </c>
      <c r="AA85" s="44">
        <f t="shared" ref="AA85:AA92" si="52">Z85/$Z$94*100</f>
        <v>0</v>
      </c>
      <c r="AB85" s="13">
        <f>((AA85*$A$25)+(AA86*$A$26)+(AA87*$A$27)+(AA88*$A$28)+(AA89*$A$29)+(AA90*$A$30)+(AA91*$A$31)+(AA92*$A$32))/100</f>
        <v>0.38183215285390815</v>
      </c>
      <c r="AC85">
        <v>0</v>
      </c>
      <c r="AD85" s="44">
        <f t="shared" ref="AD85:AD92" si="53">AC85/$AC$94*100</f>
        <v>0</v>
      </c>
      <c r="AE85" s="13">
        <f>((AD85*$A$25)+(AD86*$A$26)+(AD87*$A$27)+(AD88*$A$28)+(AD89*$A$29)+(AD90*$A$30)+(AD91*$A$31)+(AD92*$A$32))/100</f>
        <v>0.7497954347760204</v>
      </c>
      <c r="AF85">
        <v>0</v>
      </c>
      <c r="AG85" s="44">
        <f t="shared" ref="AG85:AG92" si="54">AF85/$AF$94*100</f>
        <v>0</v>
      </c>
      <c r="AH85" s="13">
        <f>((AG85*$A$25)+(AG86*$A$26)+(AG87*$A$27)+(AG88*$A$28)+(AG89*$A$29)+(AG90*$A$30)+(AG91*$A$31)+(AG92*$A$32))/100</f>
        <v>0.51012152614438655</v>
      </c>
      <c r="AI85">
        <v>357</v>
      </c>
      <c r="AJ85" s="44">
        <f t="shared" ref="AJ85:AJ92" si="55">AI85/$AI$94*100</f>
        <v>0.35864258303027868</v>
      </c>
      <c r="AK85" s="13">
        <f>((AJ85*$A$25)+(AJ86*$A$26)+(AJ87*$A$27)+(AJ88*$A$28)+(AJ89*$A$29)+(AJ90*$A$30)+(AJ91*$A$31)+(AJ92*$A$32))/100</f>
        <v>0.8680282868257162</v>
      </c>
    </row>
    <row r="86" spans="1:37">
      <c r="A86" t="str">
        <f>+$AC$21</f>
        <v>Los Angeles Civic Center</v>
      </c>
      <c r="B86" s="44">
        <f>$AE$25</f>
        <v>0.81422227355784216</v>
      </c>
      <c r="C86" s="13">
        <f t="shared" si="46"/>
        <v>1</v>
      </c>
      <c r="D86" s="36">
        <v>0.9</v>
      </c>
      <c r="E86" s="13">
        <f t="shared" si="22"/>
        <v>0.9</v>
      </c>
      <c r="F86">
        <v>7.5</v>
      </c>
      <c r="G86" s="44">
        <f>F86*$F$23/$F$26*$F$25</f>
        <v>2.4541666666666666</v>
      </c>
      <c r="H86" s="20">
        <f>2^(G86/$B$21)</f>
        <v>1.1854350885855089</v>
      </c>
      <c r="J86" s="7" t="s">
        <v>263</v>
      </c>
      <c r="K86">
        <v>1558</v>
      </c>
      <c r="L86" s="44">
        <f t="shared" si="47"/>
        <v>1.5667581782162285</v>
      </c>
      <c r="N86">
        <v>0</v>
      </c>
      <c r="O86" s="44">
        <f t="shared" si="48"/>
        <v>0</v>
      </c>
      <c r="Q86">
        <v>5915</v>
      </c>
      <c r="R86" s="44">
        <f t="shared" si="49"/>
        <v>5.9379203726383842</v>
      </c>
      <c r="T86">
        <v>4814</v>
      </c>
      <c r="U86" s="44">
        <f t="shared" si="50"/>
        <v>4.8279527835444433</v>
      </c>
      <c r="W86">
        <v>5055</v>
      </c>
      <c r="X86" s="44">
        <f t="shared" si="51"/>
        <v>5.0735183419481107</v>
      </c>
      <c r="Z86">
        <v>0</v>
      </c>
      <c r="AA86" s="44">
        <f t="shared" si="52"/>
        <v>0</v>
      </c>
      <c r="AC86">
        <v>0</v>
      </c>
      <c r="AD86" s="44">
        <f t="shared" si="53"/>
        <v>0</v>
      </c>
      <c r="AF86">
        <v>377</v>
      </c>
      <c r="AG86" s="44">
        <f t="shared" si="54"/>
        <v>0.37623999520967649</v>
      </c>
      <c r="AI86">
        <v>7873</v>
      </c>
      <c r="AJ86" s="44">
        <f t="shared" si="55"/>
        <v>7.9092242470514957</v>
      </c>
    </row>
    <row r="87" spans="1:37">
      <c r="A87" t="str">
        <f>+$Z$1</f>
        <v>Ota, Japan</v>
      </c>
      <c r="B87" s="44">
        <f>$AB$5</f>
        <v>0.80151369358396618</v>
      </c>
      <c r="C87" s="13">
        <f t="shared" si="46"/>
        <v>0.98439175592882722</v>
      </c>
      <c r="D87" s="36">
        <f t="shared" ref="D87:D116" si="56">$D$117+((C87-$C$117)/($C$86-$C$117)*($D$86-$D$117))</f>
        <v>0.89113570346500248</v>
      </c>
      <c r="E87" s="13">
        <f t="shared" ref="E87:E118" si="57">D87</f>
        <v>0.89113570346500248</v>
      </c>
      <c r="F87">
        <v>0</v>
      </c>
      <c r="G87" s="44">
        <v>0</v>
      </c>
      <c r="H87" s="20">
        <v>1</v>
      </c>
      <c r="J87" s="7" t="s">
        <v>264</v>
      </c>
      <c r="K87">
        <v>4780</v>
      </c>
      <c r="L87" s="44">
        <f t="shared" si="47"/>
        <v>4.8068704055671203</v>
      </c>
      <c r="N87">
        <v>1836</v>
      </c>
      <c r="O87" s="44">
        <f t="shared" si="48"/>
        <v>1.8265567018514279</v>
      </c>
      <c r="Q87">
        <v>9884</v>
      </c>
      <c r="R87" s="44">
        <f t="shared" si="49"/>
        <v>9.9223000783022464</v>
      </c>
      <c r="T87">
        <v>15782</v>
      </c>
      <c r="U87" s="44">
        <f t="shared" si="50"/>
        <v>15.827742174885421</v>
      </c>
      <c r="W87">
        <v>17903</v>
      </c>
      <c r="X87" s="44">
        <f t="shared" si="51"/>
        <v>17.968585336478146</v>
      </c>
      <c r="Z87">
        <v>241</v>
      </c>
      <c r="AA87" s="44">
        <f t="shared" si="52"/>
        <v>0.23973897300200944</v>
      </c>
      <c r="AC87">
        <v>4440</v>
      </c>
      <c r="AD87" s="44">
        <f t="shared" si="53"/>
        <v>4.4413768268163132</v>
      </c>
      <c r="AF87">
        <v>3029</v>
      </c>
      <c r="AG87" s="44">
        <f t="shared" si="54"/>
        <v>3.0228937546156764</v>
      </c>
      <c r="AI87">
        <v>15949</v>
      </c>
      <c r="AJ87" s="44">
        <f t="shared" si="55"/>
        <v>16.022382511904524</v>
      </c>
    </row>
    <row r="88" spans="1:37">
      <c r="A88" t="str">
        <f>+$W$181</f>
        <v>Santa Ana, CA</v>
      </c>
      <c r="B88" s="44">
        <f>$Y$185</f>
        <v>0.79263111774295036</v>
      </c>
      <c r="C88" s="13">
        <f t="shared" si="46"/>
        <v>0.97348247951932509</v>
      </c>
      <c r="D88" s="36">
        <f t="shared" si="56"/>
        <v>0.88494006347916432</v>
      </c>
      <c r="E88" s="13">
        <f t="shared" si="57"/>
        <v>0.88494006347916432</v>
      </c>
      <c r="F88">
        <v>7.5</v>
      </c>
      <c r="G88" s="44">
        <f t="shared" ref="G88:G93" si="58">F88*$F$23/$F$26*$F$25</f>
        <v>2.4541666666666666</v>
      </c>
      <c r="H88" s="20">
        <f t="shared" ref="H88:H93" si="59">2^(G88/$B$21)</f>
        <v>1.1854350885855089</v>
      </c>
      <c r="J88" s="7" t="s">
        <v>265</v>
      </c>
      <c r="K88">
        <v>12232</v>
      </c>
      <c r="L88" s="44">
        <f t="shared" si="47"/>
        <v>12.300761255417786</v>
      </c>
      <c r="N88">
        <v>11292</v>
      </c>
      <c r="O88" s="44">
        <f t="shared" si="48"/>
        <v>11.233920630341137</v>
      </c>
      <c r="Q88">
        <v>14116</v>
      </c>
      <c r="R88" s="44">
        <f t="shared" si="49"/>
        <v>14.170698897745297</v>
      </c>
      <c r="T88">
        <v>22560</v>
      </c>
      <c r="U88" s="44">
        <f t="shared" si="50"/>
        <v>22.625387369497847</v>
      </c>
      <c r="W88">
        <v>23527</v>
      </c>
      <c r="X88" s="44">
        <f t="shared" si="51"/>
        <v>23.613188136698952</v>
      </c>
      <c r="Z88">
        <v>2020</v>
      </c>
      <c r="AA88" s="44">
        <f t="shared" si="52"/>
        <v>2.0094303961164277</v>
      </c>
      <c r="AC88">
        <v>27997</v>
      </c>
      <c r="AD88" s="44">
        <f t="shared" si="53"/>
        <v>28.005681761346018</v>
      </c>
      <c r="AF88">
        <v>7413</v>
      </c>
      <c r="AG88" s="44">
        <f t="shared" si="54"/>
        <v>7.3980559270274044</v>
      </c>
      <c r="AI88">
        <v>18636</v>
      </c>
      <c r="AJ88" s="44">
        <f t="shared" si="55"/>
        <v>18.721745594824295</v>
      </c>
    </row>
    <row r="89" spans="1:37">
      <c r="A89" t="str">
        <f>+$N$41</f>
        <v>San Diego, CA</v>
      </c>
      <c r="B89" s="44">
        <f>$P$45</f>
        <v>0.78844309448497085</v>
      </c>
      <c r="C89" s="13">
        <f t="shared" si="46"/>
        <v>0.96833889232699799</v>
      </c>
      <c r="D89" s="36">
        <f t="shared" si="56"/>
        <v>0.88201889682399837</v>
      </c>
      <c r="E89" s="13">
        <f t="shared" si="57"/>
        <v>0.88201889682399837</v>
      </c>
      <c r="F89">
        <v>7.5</v>
      </c>
      <c r="G89" s="44">
        <f t="shared" si="58"/>
        <v>2.4541666666666666</v>
      </c>
      <c r="H89" s="20">
        <f t="shared" si="59"/>
        <v>1.1854350885855089</v>
      </c>
      <c r="J89" s="7" t="s">
        <v>266</v>
      </c>
      <c r="K89">
        <v>53622</v>
      </c>
      <c r="L89" s="44">
        <f t="shared" si="47"/>
        <v>53.923431984795002</v>
      </c>
      <c r="N89">
        <v>47023</v>
      </c>
      <c r="O89" s="44">
        <f t="shared" si="48"/>
        <v>46.781141498452996</v>
      </c>
      <c r="Q89">
        <v>32390</v>
      </c>
      <c r="R89" s="44">
        <f t="shared" si="49"/>
        <v>32.515509868090831</v>
      </c>
      <c r="T89">
        <v>27423</v>
      </c>
      <c r="U89" s="44">
        <f t="shared" si="50"/>
        <v>27.502482173481361</v>
      </c>
      <c r="W89">
        <v>27409</v>
      </c>
      <c r="X89" s="44">
        <f t="shared" si="51"/>
        <v>27.50940934410599</v>
      </c>
      <c r="Z89">
        <v>25230</v>
      </c>
      <c r="AA89" s="44">
        <f t="shared" si="52"/>
        <v>25.097984600998746</v>
      </c>
      <c r="AC89">
        <v>63067</v>
      </c>
      <c r="AD89" s="44">
        <f t="shared" si="53"/>
        <v>63.086556832618115</v>
      </c>
      <c r="AF89">
        <v>34748</v>
      </c>
      <c r="AG89" s="44">
        <f t="shared" si="54"/>
        <v>34.677950539909389</v>
      </c>
      <c r="AI89">
        <v>24327</v>
      </c>
      <c r="AJ89" s="44">
        <f t="shared" si="55"/>
        <v>24.43893030077756</v>
      </c>
    </row>
    <row r="90" spans="1:37">
      <c r="A90" t="str">
        <f>+$Z$61</f>
        <v>Kansas City, MO</v>
      </c>
      <c r="B90" s="44">
        <f>$AB$65</f>
        <v>0.78703925079126302</v>
      </c>
      <c r="C90" s="13">
        <f t="shared" si="46"/>
        <v>0.96661473942760168</v>
      </c>
      <c r="D90" s="36">
        <f t="shared" si="56"/>
        <v>0.88103970899849826</v>
      </c>
      <c r="E90" s="13">
        <f t="shared" si="57"/>
        <v>0.88103970899849826</v>
      </c>
      <c r="F90">
        <v>6.5</v>
      </c>
      <c r="G90" s="44">
        <f t="shared" si="58"/>
        <v>2.1269444444444443</v>
      </c>
      <c r="H90" s="20">
        <f t="shared" si="59"/>
        <v>1.1588504872049772</v>
      </c>
      <c r="J90" s="7" t="s">
        <v>267</v>
      </c>
      <c r="K90">
        <v>27249</v>
      </c>
      <c r="L90" s="44">
        <f t="shared" si="47"/>
        <v>27.402178176003861</v>
      </c>
      <c r="N90">
        <v>38151</v>
      </c>
      <c r="O90" s="44">
        <f t="shared" si="48"/>
        <v>37.954773819353939</v>
      </c>
      <c r="Q90">
        <v>33279</v>
      </c>
      <c r="R90" s="44">
        <f t="shared" si="49"/>
        <v>33.407954705161927</v>
      </c>
      <c r="T90">
        <v>24127</v>
      </c>
      <c r="U90" s="44">
        <f t="shared" si="50"/>
        <v>24.196929125171746</v>
      </c>
      <c r="W90">
        <v>21676</v>
      </c>
      <c r="X90" s="44">
        <f t="shared" si="51"/>
        <v>21.755407236412907</v>
      </c>
      <c r="Z90">
        <v>52572</v>
      </c>
      <c r="AA90" s="44">
        <f t="shared" si="52"/>
        <v>52.296918210214272</v>
      </c>
      <c r="AC90">
        <v>4465</v>
      </c>
      <c r="AD90" s="44">
        <f t="shared" si="53"/>
        <v>4.4663845792195582</v>
      </c>
      <c r="AF90">
        <v>48417</v>
      </c>
      <c r="AG90" s="44">
        <f t="shared" si="54"/>
        <v>48.319394822458634</v>
      </c>
      <c r="AI90">
        <v>23875</v>
      </c>
      <c r="AJ90" s="44">
        <f t="shared" si="55"/>
        <v>23.984850615820459</v>
      </c>
    </row>
    <row r="91" spans="1:37">
      <c r="A91" t="str">
        <f>+$N$61</f>
        <v>Washington DC</v>
      </c>
      <c r="B91" s="44">
        <f>$P$65</f>
        <v>0.78628404121033668</v>
      </c>
      <c r="C91" s="13">
        <f t="shared" si="46"/>
        <v>0.9656872168020828</v>
      </c>
      <c r="D91" s="36">
        <f t="shared" si="56"/>
        <v>0.88051294663125013</v>
      </c>
      <c r="E91" s="13">
        <f t="shared" si="57"/>
        <v>0.88051294663125013</v>
      </c>
      <c r="F91">
        <v>5.5</v>
      </c>
      <c r="G91" s="44">
        <f t="shared" si="58"/>
        <v>1.7997222222222222</v>
      </c>
      <c r="H91" s="20">
        <f t="shared" si="59"/>
        <v>1.1328620728593721</v>
      </c>
      <c r="J91" s="7" t="s">
        <v>268</v>
      </c>
      <c r="K91">
        <v>0</v>
      </c>
      <c r="L91" s="44">
        <f t="shared" si="47"/>
        <v>0</v>
      </c>
      <c r="N91">
        <v>2215</v>
      </c>
      <c r="O91" s="44">
        <f t="shared" si="48"/>
        <v>2.2036073500004973</v>
      </c>
      <c r="Q91">
        <v>4030</v>
      </c>
      <c r="R91" s="44">
        <f t="shared" si="49"/>
        <v>4.0456160780613173</v>
      </c>
      <c r="T91">
        <v>4966</v>
      </c>
      <c r="U91" s="44">
        <f t="shared" si="50"/>
        <v>4.9803933367431874</v>
      </c>
      <c r="W91">
        <v>3973</v>
      </c>
      <c r="X91" s="44">
        <f t="shared" si="51"/>
        <v>3.9875545741958147</v>
      </c>
      <c r="Z91">
        <v>17439</v>
      </c>
      <c r="AA91" s="44">
        <f t="shared" si="52"/>
        <v>17.347750830630883</v>
      </c>
      <c r="AC91">
        <v>0</v>
      </c>
      <c r="AD91" s="44">
        <f t="shared" si="53"/>
        <v>0</v>
      </c>
      <c r="AF91">
        <v>6139</v>
      </c>
      <c r="AG91" s="44">
        <f t="shared" si="54"/>
        <v>6.1266242190774634</v>
      </c>
      <c r="AI91">
        <v>7912</v>
      </c>
      <c r="AJ91" s="44">
        <f t="shared" si="55"/>
        <v>7.948403688895139</v>
      </c>
    </row>
    <row r="92" spans="1:37">
      <c r="A92" t="str">
        <f>$T$121</f>
        <v>Knoxville, TN</v>
      </c>
      <c r="B92" s="44">
        <f>$V$125</f>
        <v>0.78610980804250763</v>
      </c>
      <c r="C92" s="13">
        <f t="shared" si="46"/>
        <v>0.96547322957342629</v>
      </c>
      <c r="D92" s="36">
        <f t="shared" si="56"/>
        <v>0.88039141814663235</v>
      </c>
      <c r="E92" s="13">
        <f t="shared" si="57"/>
        <v>0.88039141814663235</v>
      </c>
      <c r="F92">
        <v>6.5</v>
      </c>
      <c r="G92" s="44">
        <f t="shared" si="58"/>
        <v>2.1269444444444443</v>
      </c>
      <c r="H92" s="20">
        <f t="shared" si="59"/>
        <v>1.1588504872049772</v>
      </c>
      <c r="J92" s="7" t="s">
        <v>269</v>
      </c>
      <c r="K92">
        <v>0</v>
      </c>
      <c r="L92" s="44">
        <f t="shared" si="47"/>
        <v>0</v>
      </c>
      <c r="N92">
        <v>0</v>
      </c>
      <c r="O92" s="44">
        <f t="shared" si="48"/>
        <v>0</v>
      </c>
      <c r="Q92">
        <v>0</v>
      </c>
      <c r="R92" s="44">
        <f t="shared" si="49"/>
        <v>0</v>
      </c>
      <c r="T92">
        <v>39</v>
      </c>
      <c r="U92" s="44">
        <f t="shared" si="50"/>
        <v>3.9113036675993626E-2</v>
      </c>
      <c r="W92">
        <v>92</v>
      </c>
      <c r="X92" s="44">
        <f t="shared" si="51"/>
        <v>9.2337030160084307E-2</v>
      </c>
      <c r="Z92">
        <v>3024</v>
      </c>
      <c r="AA92" s="44">
        <f t="shared" si="52"/>
        <v>3.0081769890376617</v>
      </c>
      <c r="AC92">
        <v>0</v>
      </c>
      <c r="AD92" s="44">
        <f t="shared" si="53"/>
        <v>0</v>
      </c>
      <c r="AF92">
        <v>79</v>
      </c>
      <c r="AG92" s="44">
        <f t="shared" si="54"/>
        <v>7.8840741701762446E-2</v>
      </c>
      <c r="AI92">
        <v>613</v>
      </c>
      <c r="AJ92" s="44">
        <f t="shared" si="55"/>
        <v>0.61582045769624882</v>
      </c>
    </row>
    <row r="93" spans="1:37">
      <c r="A93" t="str">
        <f>+$T$201</f>
        <v>Sacramento, CA</v>
      </c>
      <c r="B93" s="44">
        <f>$V$205</f>
        <v>0.78385176604722928</v>
      </c>
      <c r="C93" s="13">
        <f t="shared" si="46"/>
        <v>0.96269997948114916</v>
      </c>
      <c r="D93" s="36">
        <f t="shared" si="56"/>
        <v>0.87881642283828398</v>
      </c>
      <c r="E93" s="13">
        <f t="shared" si="57"/>
        <v>0.87881642283828398</v>
      </c>
      <c r="F93">
        <v>7.5</v>
      </c>
      <c r="G93" s="44">
        <f t="shared" si="58"/>
        <v>2.4541666666666666</v>
      </c>
      <c r="H93" s="20">
        <f t="shared" si="59"/>
        <v>1.1854350885855089</v>
      </c>
    </row>
    <row r="94" spans="1:37">
      <c r="A94" t="str">
        <f>+$N$161</f>
        <v>Lisbon, Portugal</v>
      </c>
      <c r="B94" s="44">
        <f>$P$165</f>
        <v>0.77364445632640921</v>
      </c>
      <c r="C94" s="13">
        <f t="shared" si="46"/>
        <v>0.95016371014499112</v>
      </c>
      <c r="D94" s="36">
        <f t="shared" si="56"/>
        <v>0.87169677450810823</v>
      </c>
      <c r="E94" s="13">
        <f t="shared" si="57"/>
        <v>0.87169677450810823</v>
      </c>
      <c r="F94">
        <v>0</v>
      </c>
      <c r="G94" s="44">
        <v>0</v>
      </c>
      <c r="H94" s="20">
        <v>1</v>
      </c>
      <c r="K94">
        <f>SUM(K85:K92)</f>
        <v>99441</v>
      </c>
      <c r="L94">
        <f>SUM(L85:L92)</f>
        <v>99.999999999999986</v>
      </c>
      <c r="N94">
        <f>SUM(N85:N92)</f>
        <v>100517</v>
      </c>
      <c r="O94">
        <f>SUM(O85:O92)</f>
        <v>99.999999999999986</v>
      </c>
      <c r="Q94">
        <f>SUM(Q85:Q92)</f>
        <v>99614</v>
      </c>
      <c r="R94">
        <f>SUM(R85:R92)</f>
        <v>100</v>
      </c>
      <c r="T94">
        <f>SUM(T85:T92)</f>
        <v>99711</v>
      </c>
      <c r="U94">
        <f>SUM(U85:U92)</f>
        <v>100.00000000000001</v>
      </c>
      <c r="W94">
        <f>SUM(W85:W92)</f>
        <v>99635</v>
      </c>
      <c r="X94">
        <f>SUM(X85:X92)</f>
        <v>100</v>
      </c>
      <c r="Z94">
        <f>SUM(Z85:Z92)</f>
        <v>100526</v>
      </c>
      <c r="AA94">
        <f>SUM(AA85:AA92)</f>
        <v>100</v>
      </c>
      <c r="AC94">
        <f>SUM(AC85:AC92)</f>
        <v>99969</v>
      </c>
      <c r="AD94">
        <f>SUM(AD85:AD92)</f>
        <v>100.00000000000001</v>
      </c>
      <c r="AF94">
        <f>SUM(AF85:AF92)</f>
        <v>100202</v>
      </c>
      <c r="AG94">
        <f>SUM(AG85:AG92)</f>
        <v>100.00000000000001</v>
      </c>
      <c r="AI94">
        <f>SUM(AI85:AI92)</f>
        <v>99542</v>
      </c>
      <c r="AJ94">
        <f>SUM(AJ85:AJ92)</f>
        <v>100</v>
      </c>
    </row>
    <row r="95" spans="1:37">
      <c r="A95" t="str">
        <f>+$N$101</f>
        <v>Albuquerque, NM</v>
      </c>
      <c r="B95" s="44">
        <f>$P$105</f>
        <v>0.76122490841047907</v>
      </c>
      <c r="C95" s="13">
        <f t="shared" si="46"/>
        <v>0.93491044538024648</v>
      </c>
      <c r="D95" s="36">
        <f t="shared" si="56"/>
        <v>0.86303407924367126</v>
      </c>
      <c r="E95" s="13">
        <f t="shared" si="57"/>
        <v>0.86303407924367126</v>
      </c>
      <c r="F95">
        <v>9</v>
      </c>
      <c r="G95" s="44">
        <f>F95*$F$23/$F$26*$F$25</f>
        <v>2.9449999999999998</v>
      </c>
      <c r="H95" s="20">
        <f>2^(G95/$B$21)</f>
        <v>1.2264598449964383</v>
      </c>
    </row>
    <row r="96" spans="1:37">
      <c r="A96" t="str">
        <f>+$B$1</f>
        <v>Santa Monica, CA</v>
      </c>
      <c r="B96" s="44">
        <f>$D$5</f>
        <v>0.75914059182683902</v>
      </c>
      <c r="C96" s="13">
        <f t="shared" si="46"/>
        <v>0.93235055890780649</v>
      </c>
      <c r="D96" s="36">
        <f t="shared" si="56"/>
        <v>0.86158025825752027</v>
      </c>
      <c r="E96" s="13">
        <f t="shared" si="57"/>
        <v>0.86158025825752027</v>
      </c>
      <c r="F96">
        <v>7.5</v>
      </c>
      <c r="G96" s="44">
        <f>F96*$F$23/$F$26*$F$25</f>
        <v>2.4541666666666666</v>
      </c>
      <c r="H96" s="20">
        <f>2^(G96/$B$21)</f>
        <v>1.1854350885855089</v>
      </c>
      <c r="J96" s="7" t="s">
        <v>270</v>
      </c>
      <c r="K96">
        <v>99301</v>
      </c>
      <c r="N96">
        <v>99301</v>
      </c>
      <c r="Q96">
        <v>99301</v>
      </c>
      <c r="T96">
        <v>99301</v>
      </c>
      <c r="W96">
        <v>99301</v>
      </c>
      <c r="Z96">
        <v>99301</v>
      </c>
      <c r="AC96">
        <v>99301</v>
      </c>
      <c r="AF96">
        <v>99301</v>
      </c>
      <c r="AI96">
        <v>99301</v>
      </c>
    </row>
    <row r="97" spans="1:37">
      <c r="A97" t="str">
        <f>+$AC$81</f>
        <v>LAX</v>
      </c>
      <c r="B97" s="44">
        <f>$AE$85</f>
        <v>0.7497954347760204</v>
      </c>
      <c r="C97" s="13">
        <f t="shared" si="46"/>
        <v>0.92087315604828524</v>
      </c>
      <c r="D97" s="36">
        <f t="shared" si="56"/>
        <v>0.85506196562098158</v>
      </c>
      <c r="E97" s="13">
        <f t="shared" si="57"/>
        <v>0.85506196562098158</v>
      </c>
      <c r="F97">
        <v>7.5</v>
      </c>
      <c r="G97" s="44">
        <f>F97*$F$23/$F$26*$F$25</f>
        <v>2.4541666666666666</v>
      </c>
      <c r="H97" s="20">
        <f>2^(G97/$B$21)</f>
        <v>1.1854350885855089</v>
      </c>
    </row>
    <row r="98" spans="1:37">
      <c r="A98" t="str">
        <f>+$Q$81</f>
        <v>Madrid, Spain</v>
      </c>
      <c r="B98" s="44">
        <f>$S$85</f>
        <v>0.74580545569607881</v>
      </c>
      <c r="C98" s="13">
        <f t="shared" si="46"/>
        <v>0.91597279995447944</v>
      </c>
      <c r="D98" s="36">
        <f t="shared" si="56"/>
        <v>0.85227893574622426</v>
      </c>
      <c r="E98" s="13">
        <f t="shared" si="57"/>
        <v>0.85227893574622426</v>
      </c>
      <c r="F98">
        <v>0</v>
      </c>
      <c r="G98" s="44">
        <v>0</v>
      </c>
      <c r="H98" s="20">
        <v>1</v>
      </c>
      <c r="J98" s="7" t="s">
        <v>271</v>
      </c>
      <c r="K98" s="50">
        <f>((K94/K96)-1)</f>
        <v>1.4098548856507076E-3</v>
      </c>
      <c r="N98" s="50">
        <f>((N94/N96)-1)</f>
        <v>1.2245596721080387E-2</v>
      </c>
      <c r="Q98" s="50">
        <f>((Q94/Q96)-1)</f>
        <v>3.152032708633401E-3</v>
      </c>
      <c r="T98" s="50">
        <f>((T94/T96)-1)</f>
        <v>4.1288607365483898E-3</v>
      </c>
      <c r="W98" s="50">
        <f>((W94/W96)-1)</f>
        <v>3.3635109414809072E-3</v>
      </c>
      <c r="Z98" s="50">
        <f>((Z94/Z96)-1)</f>
        <v>1.2336230249443636E-2</v>
      </c>
      <c r="AC98" s="50">
        <f>((AC94/AC96)-1)</f>
        <v>6.7270218829618145E-3</v>
      </c>
      <c r="AF98" s="50">
        <f>((AF94/AF96)-1)</f>
        <v>9.0734232283662397E-3</v>
      </c>
      <c r="AI98" s="50">
        <f>((AI94/AI96)-1)</f>
        <v>2.4269644817271896E-3</v>
      </c>
    </row>
    <row r="99" spans="1:37">
      <c r="A99" t="str">
        <f>+$T$41</f>
        <v>Santa Clara, CA</v>
      </c>
      <c r="B99" s="44">
        <f>$V$45</f>
        <v>0.73168582714276409</v>
      </c>
      <c r="C99" s="13">
        <f t="shared" si="46"/>
        <v>0.89863155418922014</v>
      </c>
      <c r="D99" s="36">
        <f t="shared" si="56"/>
        <v>0.84243042594277795</v>
      </c>
      <c r="E99" s="13">
        <f t="shared" si="57"/>
        <v>0.84243042594277795</v>
      </c>
      <c r="F99">
        <v>7.5</v>
      </c>
      <c r="G99" s="44">
        <f t="shared" ref="G99:G107" si="60">F99*$F$23/$F$26*$F$25</f>
        <v>2.4541666666666666</v>
      </c>
      <c r="H99" s="20">
        <f t="shared" ref="H99:H107" si="61">2^(G99/$B$21)</f>
        <v>1.1854350885855089</v>
      </c>
    </row>
    <row r="100" spans="1:37">
      <c r="A100" t="str">
        <f>+$T$61</f>
        <v>San Jose, CA</v>
      </c>
      <c r="B100" s="44">
        <f>$V$65</f>
        <v>0.73139973662800661</v>
      </c>
      <c r="C100" s="13">
        <f t="shared" si="46"/>
        <v>0.89828018758571604</v>
      </c>
      <c r="D100" s="36">
        <f t="shared" si="56"/>
        <v>0.84223087641294281</v>
      </c>
      <c r="E100" s="13">
        <f t="shared" si="57"/>
        <v>0.84223087641294281</v>
      </c>
      <c r="F100">
        <v>7.5</v>
      </c>
      <c r="G100" s="44">
        <f t="shared" si="60"/>
        <v>2.4541666666666666</v>
      </c>
      <c r="H100" s="20">
        <f t="shared" si="61"/>
        <v>1.1854350885855089</v>
      </c>
    </row>
    <row r="101" spans="1:37">
      <c r="A101" t="str">
        <f>+$K$201</f>
        <v>Prescott, AZ</v>
      </c>
      <c r="B101" s="44">
        <f>$M$205</f>
        <v>0.71799862129927061</v>
      </c>
      <c r="C101" s="13">
        <f t="shared" si="46"/>
        <v>0.8818213952338706</v>
      </c>
      <c r="D101" s="36">
        <f t="shared" si="56"/>
        <v>0.8328835330891563</v>
      </c>
      <c r="E101" s="13">
        <f t="shared" si="57"/>
        <v>0.8328835330891563</v>
      </c>
      <c r="F101">
        <v>9</v>
      </c>
      <c r="G101" s="44">
        <f t="shared" si="60"/>
        <v>2.9449999999999998</v>
      </c>
      <c r="H101" s="20">
        <f t="shared" si="61"/>
        <v>1.2264598449964383</v>
      </c>
      <c r="J101" s="7"/>
      <c r="K101" s="7" t="s">
        <v>216</v>
      </c>
      <c r="L101" s="7"/>
      <c r="M101" s="7"/>
      <c r="N101" s="7" t="s">
        <v>217</v>
      </c>
      <c r="O101" s="7"/>
      <c r="P101" s="7"/>
      <c r="Q101" s="7" t="s">
        <v>218</v>
      </c>
      <c r="R101" s="7"/>
      <c r="S101" s="7"/>
      <c r="T101" s="7" t="s">
        <v>219</v>
      </c>
      <c r="U101" s="7"/>
      <c r="V101" s="7"/>
      <c r="W101" s="7" t="s">
        <v>220</v>
      </c>
      <c r="X101" s="7"/>
      <c r="Y101" s="7"/>
      <c r="Z101" s="7" t="s">
        <v>221</v>
      </c>
      <c r="AA101" s="7"/>
      <c r="AB101" s="7"/>
      <c r="AC101" s="7" t="s">
        <v>222</v>
      </c>
      <c r="AD101" s="7"/>
      <c r="AE101" s="7"/>
      <c r="AF101" s="7" t="s">
        <v>223</v>
      </c>
      <c r="AG101" s="7"/>
      <c r="AH101" s="7"/>
      <c r="AI101" s="7" t="s">
        <v>224</v>
      </c>
      <c r="AJ101" s="7"/>
      <c r="AK101" s="7"/>
    </row>
    <row r="102" spans="1:37">
      <c r="A102" t="str">
        <f>+$K$61</f>
        <v>Winchester, VA</v>
      </c>
      <c r="B102" s="44">
        <f>$M$65</f>
        <v>0.71658691895615689</v>
      </c>
      <c r="C102" s="13">
        <f t="shared" si="46"/>
        <v>0.88008759060955699</v>
      </c>
      <c r="D102" s="36">
        <f t="shared" si="56"/>
        <v>0.83189886381735456</v>
      </c>
      <c r="E102" s="13">
        <f t="shared" si="57"/>
        <v>0.83189886381735456</v>
      </c>
      <c r="F102">
        <v>6.5</v>
      </c>
      <c r="G102" s="44">
        <f t="shared" si="60"/>
        <v>2.1269444444444443</v>
      </c>
      <c r="H102" s="20">
        <f t="shared" si="61"/>
        <v>1.1588504872049772</v>
      </c>
      <c r="M102" s="28" t="s">
        <v>149</v>
      </c>
      <c r="P102" s="28" t="s">
        <v>149</v>
      </c>
      <c r="S102" s="28" t="s">
        <v>149</v>
      </c>
      <c r="V102" s="28" t="s">
        <v>149</v>
      </c>
      <c r="Y102" s="28" t="s">
        <v>149</v>
      </c>
      <c r="AB102" s="28" t="s">
        <v>149</v>
      </c>
      <c r="AE102" s="28" t="s">
        <v>149</v>
      </c>
      <c r="AH102" s="28" t="s">
        <v>149</v>
      </c>
      <c r="AK102" s="28" t="s">
        <v>149</v>
      </c>
    </row>
    <row r="103" spans="1:37">
      <c r="A103" t="str">
        <f>+$W$141</f>
        <v>Philadelphia, PA</v>
      </c>
      <c r="B103" s="44">
        <f>$Y$145</f>
        <v>0.71254304873275498</v>
      </c>
      <c r="C103" s="13">
        <f t="shared" si="46"/>
        <v>0.87512104725311979</v>
      </c>
      <c r="D103" s="36">
        <f t="shared" si="56"/>
        <v>0.82907824460710711</v>
      </c>
      <c r="E103" s="13">
        <f t="shared" si="57"/>
        <v>0.82907824460710711</v>
      </c>
      <c r="F103">
        <v>5.5</v>
      </c>
      <c r="G103" s="44">
        <f t="shared" si="60"/>
        <v>1.7997222222222222</v>
      </c>
      <c r="H103" s="20">
        <f t="shared" si="61"/>
        <v>1.1328620728593721</v>
      </c>
      <c r="J103" s="7" t="s">
        <v>260</v>
      </c>
      <c r="K103" t="s">
        <v>261</v>
      </c>
      <c r="L103" t="s">
        <v>54</v>
      </c>
      <c r="M103" s="28" t="s">
        <v>73</v>
      </c>
      <c r="N103" t="s">
        <v>261</v>
      </c>
      <c r="O103" t="s">
        <v>54</v>
      </c>
      <c r="P103" s="28" t="s">
        <v>73</v>
      </c>
      <c r="Q103" t="s">
        <v>261</v>
      </c>
      <c r="R103" t="s">
        <v>54</v>
      </c>
      <c r="S103" s="28" t="s">
        <v>73</v>
      </c>
      <c r="T103" t="s">
        <v>261</v>
      </c>
      <c r="U103" t="s">
        <v>54</v>
      </c>
      <c r="V103" s="28" t="s">
        <v>73</v>
      </c>
      <c r="W103" t="s">
        <v>261</v>
      </c>
      <c r="X103" t="s">
        <v>54</v>
      </c>
      <c r="Y103" s="28" t="s">
        <v>73</v>
      </c>
      <c r="Z103" t="s">
        <v>261</v>
      </c>
      <c r="AA103" t="s">
        <v>54</v>
      </c>
      <c r="AB103" s="28" t="s">
        <v>73</v>
      </c>
      <c r="AC103" t="s">
        <v>261</v>
      </c>
      <c r="AD103" t="s">
        <v>54</v>
      </c>
      <c r="AE103" s="28" t="s">
        <v>73</v>
      </c>
      <c r="AF103" t="s">
        <v>261</v>
      </c>
      <c r="AG103" t="s">
        <v>54</v>
      </c>
      <c r="AH103" s="28" t="s">
        <v>73</v>
      </c>
      <c r="AI103" t="s">
        <v>261</v>
      </c>
      <c r="AJ103" t="s">
        <v>54</v>
      </c>
      <c r="AK103" s="28" t="s">
        <v>73</v>
      </c>
    </row>
    <row r="104" spans="1:37">
      <c r="A104" t="str">
        <f>+$AC$181</f>
        <v>Oceanside, CA</v>
      </c>
      <c r="B104" s="44">
        <f>$AE$185</f>
        <v>0.69403735851040071</v>
      </c>
      <c r="C104" s="13">
        <f t="shared" si="46"/>
        <v>0.85239299027981752</v>
      </c>
      <c r="D104" s="36">
        <f t="shared" si="56"/>
        <v>0.81617043539058121</v>
      </c>
      <c r="E104" s="13">
        <f t="shared" si="57"/>
        <v>0.81617043539058121</v>
      </c>
      <c r="F104">
        <v>7.5</v>
      </c>
      <c r="G104" s="44">
        <f t="shared" si="60"/>
        <v>2.4541666666666666</v>
      </c>
      <c r="H104" s="20">
        <f t="shared" si="61"/>
        <v>1.1854350885855089</v>
      </c>
    </row>
    <row r="105" spans="1:37">
      <c r="A105" t="str">
        <f>+$Z$21</f>
        <v>Salt Lake City, UT</v>
      </c>
      <c r="B105" s="44">
        <f>$AB$25</f>
        <v>0.69345121301617307</v>
      </c>
      <c r="C105" s="13">
        <f t="shared" ref="C105:C136" si="62">B105/$F$32</f>
        <v>0.85167310639397598</v>
      </c>
      <c r="D105" s="36">
        <f t="shared" si="56"/>
        <v>0.81576159604864318</v>
      </c>
      <c r="E105" s="13">
        <f t="shared" si="57"/>
        <v>0.81576159604864318</v>
      </c>
      <c r="F105">
        <v>7.5</v>
      </c>
      <c r="G105" s="44">
        <f t="shared" si="60"/>
        <v>2.4541666666666666</v>
      </c>
      <c r="H105" s="20">
        <f t="shared" si="61"/>
        <v>1.1854350885855089</v>
      </c>
      <c r="J105" s="7" t="s">
        <v>262</v>
      </c>
      <c r="K105">
        <v>4650</v>
      </c>
      <c r="L105" s="44">
        <f t="shared" ref="L105:L112" si="63">K105/$K$114*100</f>
        <v>4.7306095873687637</v>
      </c>
      <c r="M105" s="13">
        <f>((L105*$A$25)+(L106*$A$26)+(L107*$A$27)+(L108*$A$28)+(L109*$A$29)+(L110*$A$30)+(L111*$A$31)+(L112*$A$32))/100</f>
        <v>1.2231165768526531</v>
      </c>
      <c r="N105">
        <v>0</v>
      </c>
      <c r="O105" s="44">
        <f t="shared" ref="O105:O112" si="64">N105/$N$114*100</f>
        <v>0</v>
      </c>
      <c r="P105" s="13">
        <f>((O105*$A$25)+(O106*$A$26)+(O107*$A$27)+(O108*$A$28)+(O109*$A$29)+(O110*$A$30)+(O111*$A$31)+(O112*$A$32))/100</f>
        <v>0.76122490841047907</v>
      </c>
      <c r="Q105">
        <v>0</v>
      </c>
      <c r="R105" s="44">
        <f t="shared" ref="R105:R112" si="65">Q105/$Q$114*100</f>
        <v>0</v>
      </c>
      <c r="S105" s="13">
        <f>((R105*$A$25)+(R106*$A$26)+(R107*$A$27)+(R108*$A$28)+(R109*$A$29)+(R110*$A$30)+(R111*$A$31)+(R112*$A$32))/100</f>
        <v>1.1568103894868584</v>
      </c>
      <c r="T105">
        <v>0</v>
      </c>
      <c r="U105" s="44">
        <f t="shared" ref="U105:U112" si="66">T105/$T$114*100</f>
        <v>0</v>
      </c>
      <c r="V105" s="13">
        <f>((U105*$A$25)+(U106*$A$26)+(U107*$A$27)+(U108*$A$28)+(U109*$A$29)+(U110*$A$30)+(U111*$A$31)+(U112*$A$32))/100</f>
        <v>0.67200686373917806</v>
      </c>
      <c r="W105">
        <v>0</v>
      </c>
      <c r="X105" s="44">
        <f t="shared" ref="X105:X112" si="67">W105/$W$114*100</f>
        <v>0</v>
      </c>
      <c r="Y105" s="13">
        <f>((X105*$A$25)+(X106*$A$26)+(X107*$A$27)+(X108*$A$28)+(X109*$A$29)+(X110*$A$30)+(X111*$A$31)+(X112*$A$32))/100</f>
        <v>0.65695252811039662</v>
      </c>
      <c r="Z105">
        <v>774</v>
      </c>
      <c r="AA105" s="44">
        <f t="shared" ref="AA105:AA112" si="68">Z105/$Z$114*100</f>
        <v>0.78145508147729337</v>
      </c>
      <c r="AB105" s="13">
        <f>((AA105*$A$25)+(AA106*$A$26)+(AA107*$A$27)+(AA108*$A$28)+(AA109*$A$29)+(AA110*$A$30)+(AA111*$A$31)+(AA112*$A$32))/100</f>
        <v>0.91341613009508205</v>
      </c>
      <c r="AC105">
        <v>0</v>
      </c>
      <c r="AD105" s="44">
        <f t="shared" ref="AD105:AD112" si="69">AC105/$AC$114*100</f>
        <v>0</v>
      </c>
      <c r="AE105" s="13">
        <f>((AD105*$A$25)+(AD106*$A$26)+(AD107*$A$27)+(AD108*$A$28)+(AD109*$A$29)+(AD110*$A$30)+(AD111*$A$31)+(AD112*$A$32))/100</f>
        <v>1.2014983180899714</v>
      </c>
      <c r="AF105">
        <v>0</v>
      </c>
      <c r="AG105" s="44">
        <f t="shared" ref="AG105:AG112" si="70">AF105/$AF$114*100</f>
        <v>0</v>
      </c>
      <c r="AH105" s="13">
        <f>((AG105*$A$25)+(AG106*$A$26)+(AG107*$A$27)+(AG108*$A$28)+(AG109*$A$29)+(AG110*$A$30)+(AG111*$A$31)+(AG112*$A$32))/100</f>
        <v>0.51834407869369714</v>
      </c>
      <c r="AI105">
        <v>216</v>
      </c>
      <c r="AJ105" s="44">
        <f t="shared" ref="AJ105:AJ112" si="71">AI105/$AI$114*100</f>
        <v>0.21898032218493699</v>
      </c>
      <c r="AK105" s="13">
        <f>((AJ105*$A$25)+(AJ106*$A$26)+(AJ107*$A$27)+(AJ108*$A$28)+(AJ109*$A$29)+(AJ110*$A$30)+(AJ111*$A$31)+(AJ112*$A$32))/100</f>
        <v>0.89010291596838753</v>
      </c>
    </row>
    <row r="106" spans="1:37">
      <c r="A106" t="str">
        <f>+$T$101</f>
        <v>Indianapolis, IN</v>
      </c>
      <c r="B106" s="44">
        <f>$V$105</f>
        <v>0.67200686373917806</v>
      </c>
      <c r="C106" s="13">
        <f t="shared" si="62"/>
        <v>0.82533588869138064</v>
      </c>
      <c r="D106" s="36">
        <f t="shared" si="56"/>
        <v>0.80080405780423713</v>
      </c>
      <c r="E106" s="13">
        <f t="shared" si="57"/>
        <v>0.80080405780423713</v>
      </c>
      <c r="F106">
        <v>5.5</v>
      </c>
      <c r="G106" s="44">
        <f t="shared" si="60"/>
        <v>1.7997222222222222</v>
      </c>
      <c r="H106" s="20">
        <f t="shared" si="61"/>
        <v>1.1328620728593721</v>
      </c>
      <c r="J106" s="7" t="s">
        <v>263</v>
      </c>
      <c r="K106">
        <v>17827</v>
      </c>
      <c r="L106" s="44">
        <f t="shared" si="63"/>
        <v>18.136038089037193</v>
      </c>
      <c r="N106">
        <v>5588</v>
      </c>
      <c r="O106" s="44">
        <f t="shared" si="64"/>
        <v>5.5979082976869057</v>
      </c>
      <c r="Q106">
        <v>11286</v>
      </c>
      <c r="R106" s="44">
        <f t="shared" si="65"/>
        <v>11.456937507613594</v>
      </c>
      <c r="T106">
        <v>2391</v>
      </c>
      <c r="U106" s="44">
        <f t="shared" si="66"/>
        <v>2.3837771552196845</v>
      </c>
      <c r="W106">
        <v>2114</v>
      </c>
      <c r="X106" s="44">
        <f t="shared" si="67"/>
        <v>2.1082655177916068</v>
      </c>
      <c r="Z106">
        <v>10730</v>
      </c>
      <c r="AA106" s="44">
        <f t="shared" si="68"/>
        <v>10.83335016053147</v>
      </c>
      <c r="AC106">
        <v>9746</v>
      </c>
      <c r="AD106" s="44">
        <f t="shared" si="69"/>
        <v>9.8858852766648084</v>
      </c>
      <c r="AF106">
        <v>105</v>
      </c>
      <c r="AG106" s="44">
        <f t="shared" si="70"/>
        <v>0.10455459741501205</v>
      </c>
      <c r="AI106">
        <v>7354</v>
      </c>
      <c r="AJ106" s="44">
        <f t="shared" si="71"/>
        <v>7.4554689321667897</v>
      </c>
    </row>
    <row r="107" spans="1:37">
      <c r="A107" t="str">
        <f>+$AF$1</f>
        <v>Omaha, Nebraska</v>
      </c>
      <c r="B107" s="44">
        <f>$AH$5</f>
        <v>0.66116864712187295</v>
      </c>
      <c r="C107" s="13">
        <f t="shared" si="62"/>
        <v>0.81202476104321863</v>
      </c>
      <c r="D107" s="36">
        <f t="shared" si="56"/>
        <v>0.79324434883566475</v>
      </c>
      <c r="E107" s="13">
        <f t="shared" si="57"/>
        <v>0.79324434883566475</v>
      </c>
      <c r="F107">
        <v>6.5</v>
      </c>
      <c r="G107" s="44">
        <f t="shared" si="60"/>
        <v>2.1269444444444443</v>
      </c>
      <c r="H107" s="20">
        <f t="shared" si="61"/>
        <v>1.1588504872049772</v>
      </c>
      <c r="J107" s="7" t="s">
        <v>264</v>
      </c>
      <c r="K107">
        <v>15665</v>
      </c>
      <c r="L107" s="44">
        <f t="shared" si="63"/>
        <v>15.936558964759501</v>
      </c>
      <c r="N107">
        <v>12573</v>
      </c>
      <c r="O107" s="44">
        <f t="shared" si="64"/>
        <v>12.595293669795538</v>
      </c>
      <c r="Q107">
        <v>32743</v>
      </c>
      <c r="R107" s="44">
        <f t="shared" si="65"/>
        <v>33.238924757380111</v>
      </c>
      <c r="T107">
        <v>12161</v>
      </c>
      <c r="U107" s="44">
        <f t="shared" si="66"/>
        <v>12.124263481650599</v>
      </c>
      <c r="W107">
        <v>11220</v>
      </c>
      <c r="X107" s="44">
        <f t="shared" si="67"/>
        <v>11.189564384873146</v>
      </c>
      <c r="Z107">
        <v>12585</v>
      </c>
      <c r="AA107" s="44">
        <f t="shared" si="68"/>
        <v>12.70621731316762</v>
      </c>
      <c r="AC107">
        <v>36079</v>
      </c>
      <c r="AD107" s="44">
        <f t="shared" si="69"/>
        <v>36.596845361870464</v>
      </c>
      <c r="AF107">
        <v>4083</v>
      </c>
      <c r="AG107" s="44">
        <f t="shared" si="70"/>
        <v>4.0656802023380401</v>
      </c>
      <c r="AI107">
        <v>11722</v>
      </c>
      <c r="AJ107" s="44">
        <f t="shared" si="71"/>
        <v>11.883737669684406</v>
      </c>
    </row>
    <row r="108" spans="1:37">
      <c r="A108" t="str">
        <f>+$T$161</f>
        <v>Porto, Portugal</v>
      </c>
      <c r="B108" s="44">
        <f>$V$165</f>
        <v>0.65766132233627361</v>
      </c>
      <c r="C108" s="13">
        <f t="shared" si="62"/>
        <v>0.80771718447659679</v>
      </c>
      <c r="D108" s="36">
        <f t="shared" si="56"/>
        <v>0.79079797268600771</v>
      </c>
      <c r="E108" s="13">
        <f t="shared" si="57"/>
        <v>0.79079797268600771</v>
      </c>
      <c r="F108">
        <v>0</v>
      </c>
      <c r="G108" s="44">
        <v>0</v>
      </c>
      <c r="H108" s="20">
        <v>1</v>
      </c>
      <c r="J108" s="7" t="s">
        <v>265</v>
      </c>
      <c r="K108">
        <v>14079</v>
      </c>
      <c r="L108" s="44">
        <f t="shared" si="63"/>
        <v>14.323065028078458</v>
      </c>
      <c r="N108">
        <v>17276</v>
      </c>
      <c r="O108" s="44">
        <f t="shared" si="64"/>
        <v>17.306632739949713</v>
      </c>
      <c r="Q108">
        <v>21472</v>
      </c>
      <c r="R108" s="44">
        <f t="shared" si="65"/>
        <v>21.797214439436392</v>
      </c>
      <c r="T108">
        <v>17604</v>
      </c>
      <c r="U108" s="44">
        <f t="shared" si="66"/>
        <v>17.550821012332634</v>
      </c>
      <c r="W108">
        <v>17258</v>
      </c>
      <c r="X108" s="44">
        <f t="shared" si="67"/>
        <v>17.211185575235362</v>
      </c>
      <c r="Z108">
        <v>16005</v>
      </c>
      <c r="AA108" s="44">
        <f t="shared" si="68"/>
        <v>16.159158370857984</v>
      </c>
      <c r="AC108">
        <v>28435</v>
      </c>
      <c r="AD108" s="44">
        <f t="shared" si="69"/>
        <v>28.843130293655221</v>
      </c>
      <c r="AF108">
        <v>15879</v>
      </c>
      <c r="AG108" s="44">
        <f t="shared" si="70"/>
        <v>15.811642403361677</v>
      </c>
      <c r="AI108">
        <v>19788</v>
      </c>
      <c r="AJ108" s="44">
        <f t="shared" si="71"/>
        <v>20.061030626831172</v>
      </c>
    </row>
    <row r="109" spans="1:37">
      <c r="A109" t="str">
        <f>+$W$101</f>
        <v>Columbus, OH</v>
      </c>
      <c r="B109" s="44">
        <f>$Y$105</f>
        <v>0.65695252811039662</v>
      </c>
      <c r="C109" s="13">
        <f t="shared" si="62"/>
        <v>0.80684666760559565</v>
      </c>
      <c r="D109" s="36">
        <f t="shared" si="56"/>
        <v>0.79030358525535982</v>
      </c>
      <c r="E109" s="13">
        <f t="shared" si="57"/>
        <v>0.79030358525535982</v>
      </c>
      <c r="F109">
        <v>5.5</v>
      </c>
      <c r="G109" s="44">
        <f>F109*$F$23/$F$26*$F$25</f>
        <v>1.7997222222222222</v>
      </c>
      <c r="H109" s="20">
        <f>2^(G109/$B$21)</f>
        <v>1.1328620728593721</v>
      </c>
      <c r="J109" s="7" t="s">
        <v>266</v>
      </c>
      <c r="K109">
        <v>26832</v>
      </c>
      <c r="L109" s="44">
        <f t="shared" si="63"/>
        <v>27.297143322210466</v>
      </c>
      <c r="N109">
        <v>25455</v>
      </c>
      <c r="O109" s="44">
        <f t="shared" si="64"/>
        <v>25.500135239373691</v>
      </c>
      <c r="Q109">
        <v>23164</v>
      </c>
      <c r="R109" s="44">
        <f t="shared" si="65"/>
        <v>23.514841434198239</v>
      </c>
      <c r="T109">
        <v>23891</v>
      </c>
      <c r="U109" s="44">
        <f t="shared" si="66"/>
        <v>23.81882894828669</v>
      </c>
      <c r="W109">
        <v>24777</v>
      </c>
      <c r="X109" s="44">
        <f t="shared" si="67"/>
        <v>24.709789372905696</v>
      </c>
      <c r="Z109">
        <v>29702</v>
      </c>
      <c r="AA109" s="44">
        <f t="shared" si="68"/>
        <v>29.988086343719079</v>
      </c>
      <c r="AC109">
        <v>20115</v>
      </c>
      <c r="AD109" s="44">
        <f t="shared" si="69"/>
        <v>20.403712532332506</v>
      </c>
      <c r="AF109">
        <v>24433</v>
      </c>
      <c r="AG109" s="44">
        <f t="shared" si="70"/>
        <v>24.329356939437993</v>
      </c>
      <c r="AI109">
        <v>44611</v>
      </c>
      <c r="AJ109" s="44">
        <f t="shared" si="71"/>
        <v>45.22653311570474</v>
      </c>
    </row>
    <row r="110" spans="1:37">
      <c r="A110" t="str">
        <f>+$K$81</f>
        <v>Melbourne, Australia</v>
      </c>
      <c r="B110" s="44">
        <f>$M$85</f>
        <v>0.65383817380850684</v>
      </c>
      <c r="C110" s="13">
        <f t="shared" si="62"/>
        <v>0.80302172397161564</v>
      </c>
      <c r="D110" s="36">
        <f t="shared" si="56"/>
        <v>0.78813130793533315</v>
      </c>
      <c r="E110" s="13">
        <f t="shared" si="57"/>
        <v>0.78813130793533315</v>
      </c>
      <c r="F110">
        <v>0</v>
      </c>
      <c r="G110" s="44">
        <v>0</v>
      </c>
      <c r="H110" s="20">
        <v>1</v>
      </c>
      <c r="J110" s="7" t="s">
        <v>267</v>
      </c>
      <c r="K110">
        <v>18918</v>
      </c>
      <c r="L110" s="44">
        <f t="shared" si="63"/>
        <v>19.24595100512737</v>
      </c>
      <c r="N110">
        <v>29477</v>
      </c>
      <c r="O110" s="44">
        <f t="shared" si="64"/>
        <v>29.529266802239967</v>
      </c>
      <c r="Q110">
        <v>9722</v>
      </c>
      <c r="R110" s="44">
        <f t="shared" si="65"/>
        <v>9.8692491980346766</v>
      </c>
      <c r="T110">
        <v>26669</v>
      </c>
      <c r="U110" s="44">
        <f t="shared" si="66"/>
        <v>26.588437035781581</v>
      </c>
      <c r="W110">
        <v>27720</v>
      </c>
      <c r="X110" s="44">
        <f t="shared" si="67"/>
        <v>27.644806127333656</v>
      </c>
      <c r="Z110">
        <v>26384</v>
      </c>
      <c r="AA110" s="44">
        <f t="shared" si="68"/>
        <v>26.638127738626498</v>
      </c>
      <c r="AC110">
        <v>4210</v>
      </c>
      <c r="AD110" s="44">
        <f t="shared" si="69"/>
        <v>4.2704265354769992</v>
      </c>
      <c r="AF110">
        <v>35500</v>
      </c>
      <c r="AG110" s="44">
        <f t="shared" si="70"/>
        <v>35.349411506980267</v>
      </c>
      <c r="AI110">
        <v>14948</v>
      </c>
      <c r="AJ110" s="44">
        <f t="shared" si="71"/>
        <v>15.154249333427956</v>
      </c>
    </row>
    <row r="111" spans="1:37">
      <c r="A111" t="str">
        <f>+$Z$41</f>
        <v>Montclair, NJ</v>
      </c>
      <c r="B111" s="44">
        <f>$AB$45</f>
        <v>0.65111894665093473</v>
      </c>
      <c r="C111" s="13">
        <f t="shared" si="62"/>
        <v>0.79968206200721115</v>
      </c>
      <c r="D111" s="36">
        <f t="shared" si="56"/>
        <v>0.78623463372623303</v>
      </c>
      <c r="E111" s="13">
        <f t="shared" si="57"/>
        <v>0.78623463372623303</v>
      </c>
      <c r="F111">
        <v>5.5</v>
      </c>
      <c r="G111" s="44">
        <f t="shared" ref="G111:G120" si="72">F111*$F$23/$F$26*$F$25</f>
        <v>1.7997222222222222</v>
      </c>
      <c r="H111" s="20">
        <f t="shared" ref="H111:H120" si="73">2^(G111/$B$21)</f>
        <v>1.1328620728593721</v>
      </c>
      <c r="J111" s="7" t="s">
        <v>268</v>
      </c>
      <c r="K111">
        <v>325</v>
      </c>
      <c r="L111" s="44">
        <f t="shared" si="63"/>
        <v>0.33063400341824695</v>
      </c>
      <c r="N111">
        <v>9243</v>
      </c>
      <c r="O111" s="44">
        <f t="shared" si="64"/>
        <v>9.2593891187401702</v>
      </c>
      <c r="Q111">
        <v>121</v>
      </c>
      <c r="R111" s="44">
        <f t="shared" si="65"/>
        <v>0.12283266333698785</v>
      </c>
      <c r="T111">
        <v>14811</v>
      </c>
      <c r="U111" s="44">
        <f t="shared" si="66"/>
        <v>14.766258237540253</v>
      </c>
      <c r="W111">
        <v>14900</v>
      </c>
      <c r="X111" s="44">
        <f t="shared" si="67"/>
        <v>14.859581937131003</v>
      </c>
      <c r="Z111">
        <v>2866</v>
      </c>
      <c r="AA111" s="44">
        <f t="shared" si="68"/>
        <v>2.8936049916200557</v>
      </c>
      <c r="AC111">
        <v>0</v>
      </c>
      <c r="AD111" s="44">
        <f t="shared" si="69"/>
        <v>0</v>
      </c>
      <c r="AF111">
        <v>17444</v>
      </c>
      <c r="AG111" s="44">
        <f t="shared" si="70"/>
        <v>17.370003783880669</v>
      </c>
      <c r="AI111">
        <v>0</v>
      </c>
      <c r="AJ111" s="44">
        <f t="shared" si="71"/>
        <v>0</v>
      </c>
    </row>
    <row r="112" spans="1:37">
      <c r="A112" t="str">
        <f>+$AC$121</f>
        <v>Reno, NV</v>
      </c>
      <c r="B112" s="44">
        <f>$AE$125</f>
        <v>0.64938586828868461</v>
      </c>
      <c r="C112" s="13">
        <f t="shared" si="62"/>
        <v>0.79755355432751174</v>
      </c>
      <c r="D112" s="36">
        <f t="shared" si="56"/>
        <v>0.78502580311313908</v>
      </c>
      <c r="E112" s="13">
        <f t="shared" si="57"/>
        <v>0.78502580311313908</v>
      </c>
      <c r="F112">
        <v>9</v>
      </c>
      <c r="G112" s="44">
        <f t="shared" si="72"/>
        <v>2.9449999999999998</v>
      </c>
      <c r="H112" s="20">
        <f t="shared" si="73"/>
        <v>1.2264598449964383</v>
      </c>
      <c r="J112" s="7" t="s">
        <v>269</v>
      </c>
      <c r="K112">
        <v>0</v>
      </c>
      <c r="L112" s="44">
        <f t="shared" si="63"/>
        <v>0</v>
      </c>
      <c r="N112">
        <v>211</v>
      </c>
      <c r="O112" s="44">
        <f t="shared" si="64"/>
        <v>0.2113741322140188</v>
      </c>
      <c r="Q112">
        <v>0</v>
      </c>
      <c r="R112" s="44">
        <f t="shared" si="65"/>
        <v>0</v>
      </c>
      <c r="T112">
        <v>2776</v>
      </c>
      <c r="U112" s="44">
        <f t="shared" si="66"/>
        <v>2.7676141291885585</v>
      </c>
      <c r="W112">
        <v>2283</v>
      </c>
      <c r="X112" s="44">
        <f t="shared" si="67"/>
        <v>2.2768070847295356</v>
      </c>
      <c r="Z112">
        <v>0</v>
      </c>
      <c r="AA112" s="44">
        <f t="shared" si="68"/>
        <v>0</v>
      </c>
      <c r="AC112">
        <v>0</v>
      </c>
      <c r="AD112" s="44">
        <f t="shared" si="69"/>
        <v>0</v>
      </c>
      <c r="AF112">
        <v>2982</v>
      </c>
      <c r="AG112" s="44">
        <f t="shared" si="70"/>
        <v>2.9693505665863422</v>
      </c>
      <c r="AI112">
        <v>0</v>
      </c>
      <c r="AJ112" s="44">
        <f t="shared" si="71"/>
        <v>0</v>
      </c>
    </row>
    <row r="113" spans="1:37">
      <c r="A113" t="str">
        <f>+$N$21</f>
        <v>Chicago, IL</v>
      </c>
      <c r="B113" s="44">
        <f>$P$25</f>
        <v>0.63609894174488324</v>
      </c>
      <c r="C113" s="13">
        <f t="shared" si="62"/>
        <v>0.78123500474308127</v>
      </c>
      <c r="D113" s="36">
        <f t="shared" si="56"/>
        <v>0.7757581070239542</v>
      </c>
      <c r="E113" s="13">
        <f t="shared" si="57"/>
        <v>0.7757581070239542</v>
      </c>
      <c r="F113">
        <v>5.5</v>
      </c>
      <c r="G113" s="44">
        <f t="shared" si="72"/>
        <v>1.7997222222222222</v>
      </c>
      <c r="H113" s="20">
        <f t="shared" si="73"/>
        <v>1.1328620728593721</v>
      </c>
    </row>
    <row r="114" spans="1:37">
      <c r="A114" t="str">
        <f>+$AC$141</f>
        <v>Pittsburgh, PA</v>
      </c>
      <c r="B114" s="44">
        <f>$AE$145</f>
        <v>0.62718704748422083</v>
      </c>
      <c r="C114" s="13">
        <f t="shared" si="62"/>
        <v>0.77028972045145805</v>
      </c>
      <c r="D114" s="36">
        <f t="shared" si="56"/>
        <v>0.76954201729737237</v>
      </c>
      <c r="E114" s="13">
        <f t="shared" si="57"/>
        <v>0.76954201729737237</v>
      </c>
      <c r="F114">
        <v>5.5</v>
      </c>
      <c r="G114" s="44">
        <f t="shared" si="72"/>
        <v>1.7997222222222222</v>
      </c>
      <c r="H114" s="20">
        <f t="shared" si="73"/>
        <v>1.1328620728593721</v>
      </c>
      <c r="K114">
        <f>SUM(K105:K112)</f>
        <v>98296</v>
      </c>
      <c r="L114">
        <f>SUM(L105:L112)</f>
        <v>100.00000000000001</v>
      </c>
      <c r="N114">
        <f>SUM(N105:N112)</f>
        <v>99823</v>
      </c>
      <c r="O114">
        <f>SUM(O105:O112)</f>
        <v>100.00000000000001</v>
      </c>
      <c r="Q114">
        <f>SUM(Q105:Q112)</f>
        <v>98508</v>
      </c>
      <c r="R114">
        <f>SUM(R105:R112)</f>
        <v>100</v>
      </c>
      <c r="T114">
        <f>SUM(T105:T112)</f>
        <v>100303</v>
      </c>
      <c r="U114">
        <f>SUM(U105:U112)</f>
        <v>100</v>
      </c>
      <c r="W114">
        <f>SUM(W105:W112)</f>
        <v>100272</v>
      </c>
      <c r="X114">
        <f>SUM(X105:X112)</f>
        <v>100</v>
      </c>
      <c r="Z114">
        <f>SUM(Z105:Z112)</f>
        <v>99046</v>
      </c>
      <c r="AA114">
        <f>SUM(AA105:AA112)</f>
        <v>99.999999999999986</v>
      </c>
      <c r="AC114">
        <f>SUM(AC105:AC112)</f>
        <v>98585</v>
      </c>
      <c r="AD114">
        <f>SUM(AD105:AD112)</f>
        <v>100</v>
      </c>
      <c r="AF114">
        <f>SUM(AF105:AF112)</f>
        <v>100426</v>
      </c>
      <c r="AG114">
        <f>SUM(AG105:AG112)</f>
        <v>100</v>
      </c>
      <c r="AI114">
        <f>SUM(AI105:AI112)</f>
        <v>98639</v>
      </c>
      <c r="AJ114">
        <f>SUM(AJ105:AJ112)</f>
        <v>100</v>
      </c>
    </row>
    <row r="115" spans="1:37">
      <c r="A115" t="str">
        <f>+$N$121</f>
        <v>Detroit, MI</v>
      </c>
      <c r="B115" s="44">
        <f>$P$125</f>
        <v>0.61946682505626338</v>
      </c>
      <c r="C115" s="13">
        <f t="shared" si="62"/>
        <v>0.76080800682279126</v>
      </c>
      <c r="D115" s="36">
        <f t="shared" si="56"/>
        <v>0.76415712448808704</v>
      </c>
      <c r="E115" s="13">
        <f t="shared" si="57"/>
        <v>0.76415712448808704</v>
      </c>
      <c r="F115">
        <v>5.5</v>
      </c>
      <c r="G115" s="44">
        <f t="shared" si="72"/>
        <v>1.7997222222222222</v>
      </c>
      <c r="H115" s="20">
        <f t="shared" si="73"/>
        <v>1.1328620728593721</v>
      </c>
    </row>
    <row r="116" spans="1:37">
      <c r="A116" t="str">
        <f>+$N$1</f>
        <v>San Francisco, CA</v>
      </c>
      <c r="B116" s="44">
        <f>$P$5</f>
        <v>0.61646105558895725</v>
      </c>
      <c r="C116" s="13">
        <f t="shared" si="62"/>
        <v>0.75711642337571594</v>
      </c>
      <c r="D116" s="36">
        <f t="shared" si="56"/>
        <v>0.76206058561995116</v>
      </c>
      <c r="E116" s="13">
        <f t="shared" si="57"/>
        <v>0.76206058561995116</v>
      </c>
      <c r="F116">
        <v>7.5</v>
      </c>
      <c r="G116" s="44">
        <f t="shared" si="72"/>
        <v>2.4541666666666666</v>
      </c>
      <c r="H116" s="20">
        <f t="shared" si="73"/>
        <v>1.1854350885855089</v>
      </c>
      <c r="J116" s="7" t="s">
        <v>270</v>
      </c>
      <c r="K116">
        <v>99301</v>
      </c>
      <c r="N116">
        <v>99301</v>
      </c>
      <c r="Q116">
        <v>99301</v>
      </c>
      <c r="T116">
        <v>99301</v>
      </c>
      <c r="W116">
        <v>99301</v>
      </c>
      <c r="Z116">
        <v>99301</v>
      </c>
      <c r="AC116">
        <v>99301</v>
      </c>
      <c r="AF116">
        <v>99301</v>
      </c>
      <c r="AI116">
        <v>99301</v>
      </c>
    </row>
    <row r="117" spans="1:37">
      <c r="A117" t="str">
        <f>+$E$1</f>
        <v>Boston, MA</v>
      </c>
      <c r="B117" s="44">
        <f>$G$5</f>
        <v>0.59917001435654971</v>
      </c>
      <c r="C117" s="13">
        <f t="shared" si="62"/>
        <v>0.73588015682548735</v>
      </c>
      <c r="D117" s="27">
        <v>0.75</v>
      </c>
      <c r="E117" s="13">
        <f t="shared" si="57"/>
        <v>0.75</v>
      </c>
      <c r="F117">
        <v>5.5</v>
      </c>
      <c r="G117" s="44">
        <f t="shared" si="72"/>
        <v>1.7997222222222222</v>
      </c>
      <c r="H117" s="20">
        <f t="shared" si="73"/>
        <v>1.1328620728593721</v>
      </c>
    </row>
    <row r="118" spans="1:37">
      <c r="A118" t="str">
        <f>+$K$21</f>
        <v>Denver, CO</v>
      </c>
      <c r="B118" s="44">
        <f>$M$25</f>
        <v>0.5932231435942471</v>
      </c>
      <c r="C118" s="13">
        <f t="shared" si="62"/>
        <v>0.72857641317288857</v>
      </c>
      <c r="D118" s="36">
        <f t="shared" ref="D118:D137" si="74">$D$138+((C118-$C$138)/($C$117-$C$138)*($D$117-$D$138))</f>
        <v>0.74540312819331433</v>
      </c>
      <c r="E118" s="13">
        <f t="shared" si="57"/>
        <v>0.74540312819331433</v>
      </c>
      <c r="F118">
        <v>7.5</v>
      </c>
      <c r="G118" s="44">
        <f t="shared" si="72"/>
        <v>2.4541666666666666</v>
      </c>
      <c r="H118" s="20">
        <f t="shared" si="73"/>
        <v>1.1854350885855089</v>
      </c>
      <c r="J118" s="7" t="s">
        <v>271</v>
      </c>
      <c r="K118" s="50">
        <f>((K114/K116)-1)</f>
        <v>-1.0120744000563953E-2</v>
      </c>
      <c r="N118" s="50">
        <f>((N114/N116)-1)</f>
        <v>5.2567446450690891E-3</v>
      </c>
      <c r="Q118" s="50">
        <f>((Q114/Q116)-1)</f>
        <v>-7.9858208880071446E-3</v>
      </c>
      <c r="T118" s="50">
        <f>((T114/T116)-1)</f>
        <v>1.0090532824442944E-2</v>
      </c>
      <c r="W118" s="50">
        <f>((W114/W116)-1)</f>
        <v>9.7783506711917045E-3</v>
      </c>
      <c r="Z118" s="50">
        <f>((Z114/Z116)-1)</f>
        <v>-2.5679499702923048E-3</v>
      </c>
      <c r="AC118" s="50">
        <f>((AC114/AC116)-1)</f>
        <v>-7.2104007008992888E-3</v>
      </c>
      <c r="AF118" s="50">
        <f>((AF114/AF116)-1)</f>
        <v>1.1329191045407416E-2</v>
      </c>
      <c r="AI118" s="50">
        <f>((AI114/AI116)-1)</f>
        <v>-6.6665995307196857E-3</v>
      </c>
    </row>
    <row r="119" spans="1:37">
      <c r="A119" t="str">
        <f>+$Q$1</f>
        <v>Portland, OR</v>
      </c>
      <c r="B119" s="44">
        <f>$S$5</f>
        <v>0.58491856587296209</v>
      </c>
      <c r="C119" s="13">
        <f t="shared" si="62"/>
        <v>0.71837701432201073</v>
      </c>
      <c r="D119" s="36">
        <f t="shared" si="74"/>
        <v>0.7389837724145748</v>
      </c>
      <c r="E119" s="13">
        <f t="shared" ref="E119:E138" si="75">D119</f>
        <v>0.7389837724145748</v>
      </c>
      <c r="F119">
        <v>5.5</v>
      </c>
      <c r="G119" s="44">
        <f t="shared" si="72"/>
        <v>1.7997222222222222</v>
      </c>
      <c r="H119" s="20">
        <f t="shared" si="73"/>
        <v>1.1328620728593721</v>
      </c>
    </row>
    <row r="120" spans="1:37">
      <c r="A120" t="str">
        <f>+$AF$41</f>
        <v>Minneapolis, MN</v>
      </c>
      <c r="B120" s="44">
        <f>$AH$45</f>
        <v>0.56697666594774065</v>
      </c>
      <c r="C120" s="13">
        <f t="shared" si="62"/>
        <v>0.69634138534465273</v>
      </c>
      <c r="D120" s="36">
        <f t="shared" si="74"/>
        <v>0.72511486265997793</v>
      </c>
      <c r="E120" s="13">
        <f t="shared" si="75"/>
        <v>0.72511486265997793</v>
      </c>
      <c r="F120">
        <v>5.5</v>
      </c>
      <c r="G120" s="44">
        <f t="shared" si="72"/>
        <v>1.7997222222222222</v>
      </c>
      <c r="H120" s="20">
        <f t="shared" si="73"/>
        <v>1.1328620728593721</v>
      </c>
    </row>
    <row r="121" spans="1:37">
      <c r="A121" t="str">
        <f>+$AF$61</f>
        <v>Paris, France</v>
      </c>
      <c r="B121" s="44">
        <f>$AH$65</f>
        <v>0.5632502311042189</v>
      </c>
      <c r="C121" s="13">
        <f t="shared" si="62"/>
        <v>0.69176470528499456</v>
      </c>
      <c r="D121" s="36">
        <f t="shared" si="74"/>
        <v>0.72223436567991517</v>
      </c>
      <c r="E121" s="13">
        <f t="shared" si="75"/>
        <v>0.72223436567991517</v>
      </c>
      <c r="F121">
        <v>0</v>
      </c>
      <c r="G121" s="44">
        <v>0</v>
      </c>
      <c r="H121" s="20">
        <v>1</v>
      </c>
      <c r="J121" s="7"/>
      <c r="K121" s="7" t="s">
        <v>225</v>
      </c>
      <c r="L121" s="7"/>
      <c r="M121" s="7"/>
      <c r="N121" s="7" t="s">
        <v>226</v>
      </c>
      <c r="O121" s="7"/>
      <c r="P121" s="7"/>
      <c r="Q121" s="7" t="s">
        <v>227</v>
      </c>
      <c r="R121" s="7"/>
      <c r="S121" s="7"/>
      <c r="T121" s="7" t="s">
        <v>228</v>
      </c>
      <c r="U121" s="7"/>
      <c r="V121" s="7"/>
      <c r="W121" s="7" t="s">
        <v>229</v>
      </c>
      <c r="X121" s="7"/>
      <c r="Y121" s="7"/>
      <c r="Z121" s="7" t="s">
        <v>230</v>
      </c>
      <c r="AA121" s="7"/>
      <c r="AB121" s="7"/>
      <c r="AC121" s="7" t="s">
        <v>231</v>
      </c>
      <c r="AD121" s="7"/>
      <c r="AE121" s="7"/>
      <c r="AF121" s="7" t="s">
        <v>122</v>
      </c>
      <c r="AG121" s="7"/>
      <c r="AH121" s="7"/>
      <c r="AI121" s="7" t="s">
        <v>232</v>
      </c>
      <c r="AJ121" s="7"/>
      <c r="AK121" s="7"/>
    </row>
    <row r="122" spans="1:37">
      <c r="A122" t="str">
        <f>+$AI$141</f>
        <v>Syracuse, NY</v>
      </c>
      <c r="B122" s="44">
        <f>$AK$145</f>
        <v>0.55888090338578356</v>
      </c>
      <c r="C122" s="13">
        <f t="shared" si="62"/>
        <v>0.68639844614381063</v>
      </c>
      <c r="D122" s="36">
        <f t="shared" si="74"/>
        <v>0.71885691891743186</v>
      </c>
      <c r="E122" s="13">
        <f t="shared" si="75"/>
        <v>0.71885691891743186</v>
      </c>
      <c r="F122">
        <v>5.5</v>
      </c>
      <c r="G122" s="44">
        <f>F122*$F$23/$F$26*$F$25</f>
        <v>1.7997222222222222</v>
      </c>
      <c r="H122" s="20">
        <f>2^(G122/$B$21)</f>
        <v>1.1328620728593721</v>
      </c>
      <c r="M122" s="28" t="s">
        <v>149</v>
      </c>
      <c r="P122" s="28" t="s">
        <v>149</v>
      </c>
      <c r="S122" s="28" t="s">
        <v>149</v>
      </c>
      <c r="V122" s="28" t="s">
        <v>149</v>
      </c>
      <c r="Y122" s="28" t="s">
        <v>149</v>
      </c>
      <c r="AB122" s="28" t="s">
        <v>149</v>
      </c>
      <c r="AE122" s="28" t="s">
        <v>149</v>
      </c>
      <c r="AH122" s="28" t="s">
        <v>149</v>
      </c>
      <c r="AK122" s="28" t="s">
        <v>149</v>
      </c>
    </row>
    <row r="123" spans="1:37">
      <c r="A123" t="str">
        <f>+$W$41</f>
        <v>Seattle, WA</v>
      </c>
      <c r="B123" s="44">
        <f>$Y$45</f>
        <v>0.55765371349331938</v>
      </c>
      <c r="C123" s="13">
        <f t="shared" si="62"/>
        <v>0.68489125341239365</v>
      </c>
      <c r="D123" s="36">
        <f t="shared" si="74"/>
        <v>0.71790831336610927</v>
      </c>
      <c r="E123" s="13">
        <f t="shared" si="75"/>
        <v>0.71790831336610927</v>
      </c>
      <c r="F123">
        <v>4.5</v>
      </c>
      <c r="G123" s="44">
        <f>F123*$F$23/$F$26*$F$25</f>
        <v>1.4724999999999999</v>
      </c>
      <c r="H123" s="20">
        <f>2^(G123/$B$21)</f>
        <v>1.1074564754411067</v>
      </c>
      <c r="J123" s="7" t="s">
        <v>260</v>
      </c>
      <c r="K123" t="s">
        <v>261</v>
      </c>
      <c r="L123" t="s">
        <v>54</v>
      </c>
      <c r="M123" s="28" t="s">
        <v>73</v>
      </c>
      <c r="N123" t="s">
        <v>261</v>
      </c>
      <c r="O123" t="s">
        <v>54</v>
      </c>
      <c r="P123" s="28" t="s">
        <v>73</v>
      </c>
      <c r="Q123" t="s">
        <v>261</v>
      </c>
      <c r="R123" t="s">
        <v>54</v>
      </c>
      <c r="S123" s="28" t="s">
        <v>73</v>
      </c>
      <c r="T123" t="s">
        <v>261</v>
      </c>
      <c r="U123" t="s">
        <v>54</v>
      </c>
      <c r="V123" s="28" t="s">
        <v>73</v>
      </c>
      <c r="W123" t="s">
        <v>261</v>
      </c>
      <c r="X123" t="s">
        <v>54</v>
      </c>
      <c r="Y123" s="28" t="s">
        <v>73</v>
      </c>
      <c r="Z123" t="s">
        <v>261</v>
      </c>
      <c r="AA123" t="s">
        <v>54</v>
      </c>
      <c r="AB123" s="28" t="s">
        <v>73</v>
      </c>
      <c r="AC123" t="s">
        <v>261</v>
      </c>
      <c r="AD123" t="s">
        <v>54</v>
      </c>
      <c r="AE123" s="28" t="s">
        <v>73</v>
      </c>
      <c r="AF123" t="s">
        <v>261</v>
      </c>
      <c r="AG123" t="s">
        <v>54</v>
      </c>
      <c r="AH123" s="28" t="s">
        <v>73</v>
      </c>
      <c r="AI123" t="s">
        <v>261</v>
      </c>
      <c r="AJ123" t="s">
        <v>54</v>
      </c>
      <c r="AK123" s="28" t="s">
        <v>73</v>
      </c>
    </row>
    <row r="124" spans="1:37">
      <c r="A124" t="str">
        <f>+$T$141</f>
        <v>Madison, WI</v>
      </c>
      <c r="B124" s="44">
        <f>$V$145</f>
        <v>0.55707471095431305</v>
      </c>
      <c r="C124" s="13">
        <f t="shared" si="62"/>
        <v>0.68418014226030455</v>
      </c>
      <c r="D124" s="36">
        <f t="shared" si="74"/>
        <v>0.71746075017633404</v>
      </c>
      <c r="E124" s="13">
        <f t="shared" si="75"/>
        <v>0.71746075017633404</v>
      </c>
      <c r="F124">
        <v>5.5</v>
      </c>
      <c r="G124" s="44">
        <f>F124*$F$23/$F$26*$F$25</f>
        <v>1.7997222222222222</v>
      </c>
      <c r="H124" s="20">
        <f>2^(G124/$B$21)</f>
        <v>1.1328620728593721</v>
      </c>
    </row>
    <row r="125" spans="1:37">
      <c r="A125" t="str">
        <f>+$N$81</f>
        <v>London, England</v>
      </c>
      <c r="B125" s="44">
        <f>$P$85</f>
        <v>0.5561878267359045</v>
      </c>
      <c r="C125" s="13">
        <f t="shared" si="62"/>
        <v>0.68309090134021377</v>
      </c>
      <c r="D125" s="36">
        <f t="shared" si="74"/>
        <v>0.71677519751807883</v>
      </c>
      <c r="E125" s="13">
        <f t="shared" si="75"/>
        <v>0.71677519751807883</v>
      </c>
      <c r="F125">
        <v>0</v>
      </c>
      <c r="G125" s="44">
        <v>0</v>
      </c>
      <c r="H125" s="20">
        <v>1</v>
      </c>
      <c r="J125" s="7" t="s">
        <v>262</v>
      </c>
      <c r="K125">
        <v>289</v>
      </c>
      <c r="L125" s="44">
        <f t="shared" ref="L125:L132" si="76">K125/$K$134*100</f>
        <v>0.29306183706167482</v>
      </c>
      <c r="M125" s="13">
        <f>((L125*$A$25)+(L126*$A$26)+(L127*$A$27)+(L128*$A$28)+(L129*$A$29)+(L130*$A$30)+(L131*$A$31)+(L132*$A$32))/100</f>
        <v>0.89832724029066791</v>
      </c>
      <c r="N125">
        <v>0</v>
      </c>
      <c r="O125" s="44">
        <f t="shared" ref="O125:O132" si="77">N125/$N$134*100</f>
        <v>0</v>
      </c>
      <c r="P125" s="13">
        <f>((O125*$A$25)+(O126*$A$26)+(O127*$A$27)+(O128*$A$28)+(O129*$A$29)+(O130*$A$30)+(O131*$A$31)+(O132*$A$32))/100</f>
        <v>0.61946682505626338</v>
      </c>
      <c r="Q125">
        <v>2521</v>
      </c>
      <c r="R125" s="44">
        <f t="shared" ref="R125:R131" si="78">Q125/$Q$134*100</f>
        <v>2.5618356604272097</v>
      </c>
      <c r="S125" s="13">
        <f>((R125*$A$25)+(R126*$A$26)+(R127*$A$27)+(R128*$A$28)+(R129*$A$29)+(R130*$A$30)+(R131*$A$31)+(R132*$A$32))/100</f>
        <v>1.1817089567138814</v>
      </c>
      <c r="T125">
        <v>0</v>
      </c>
      <c r="U125" s="44">
        <f t="shared" ref="U125:U132" si="79">T125/$T$134*100</f>
        <v>0</v>
      </c>
      <c r="V125" s="13">
        <f>((U125*$A$25)+(U126*$A$26)+(U127*$A$27)+(U128*$A$28)+(U129*$A$29)+(U130*$A$30)+(U131*$A$31)+(U132*$A$32))/100</f>
        <v>0.78610980804250763</v>
      </c>
      <c r="W125">
        <v>394</v>
      </c>
      <c r="X125" s="44">
        <f t="shared" ref="X125:X132" si="80">W125/$W$134*100</f>
        <v>0.39906816570444653</v>
      </c>
      <c r="Y125" s="13">
        <f>((X125*$A$25)+(X126*$A$26)+(X127*$A$27)+(X128*$A$28)+(X129*$A$29)+(X130*$A$30)+(X131*$A$31)+(X132*$A$32))/100</f>
        <v>1.0973593239325188</v>
      </c>
      <c r="Z125">
        <v>0</v>
      </c>
      <c r="AA125" s="44">
        <f t="shared" ref="AA125:AA132" si="81">Z125/$Z$134*100</f>
        <v>0</v>
      </c>
      <c r="AB125" s="13">
        <f>((AA125*$A$25)+(AA126*$A$26)+(AA127*$A$27)+(AA128*$A$28)+(AA129*$A$29)+(AA130*$A$30)+(AA131*$A$31)+(AA132*$A$32))/100</f>
        <v>0.50442711374603599</v>
      </c>
      <c r="AC125">
        <v>0</v>
      </c>
      <c r="AD125" s="44">
        <f t="shared" ref="AD125:AD132" si="82">AC125/$AC$134*100</f>
        <v>0</v>
      </c>
      <c r="AE125" s="13">
        <f>((AD125*$A$25)+(AD126*$A$26)+(AD127*$A$27)+(AD128*$A$28)+(AD129*$A$29)+(AD130*$A$30)+(AD131*$A$31)+(AD132*$A$32))/100</f>
        <v>0.64938586828868461</v>
      </c>
      <c r="AF125">
        <v>60</v>
      </c>
      <c r="AG125" s="44">
        <f t="shared" ref="AG125:AG132" si="83">AF125/$AF$134*100</f>
        <v>6.0730588985495507E-2</v>
      </c>
      <c r="AH125" s="13">
        <f>((AG125*$A$25)+(AG126*$A$26)+(AG127*$A$27)+(AG128*$A$28)+(AG129*$A$29)+(AG130*$A$30)+(AG131*$A$31)+(AG132*$A$32))/100</f>
        <v>1.1141395811205461</v>
      </c>
      <c r="AI125">
        <v>133</v>
      </c>
      <c r="AJ125" s="44">
        <f t="shared" ref="AJ125:AJ132" si="84">AI125/$AI$134*100</f>
        <v>0.13383109107557933</v>
      </c>
      <c r="AK125" s="13">
        <f>((AJ125*$A$25)+(AJ126*$A$26)+(AJ127*$A$27)+(AJ128*$A$28)+(AJ129*$A$29)+(AJ130*$A$30)+(AJ131*$A$31)+(AJ132*$A$32))/100</f>
        <v>0.90855082681361887</v>
      </c>
    </row>
    <row r="126" spans="1:37">
      <c r="A126" t="str">
        <f>+$N$141</f>
        <v>Vienna, Austria</v>
      </c>
      <c r="B126" s="44">
        <f>$P$145</f>
        <v>0.55127196077696727</v>
      </c>
      <c r="C126" s="13">
        <f t="shared" si="62"/>
        <v>0.67705340259007918</v>
      </c>
      <c r="D126" s="36">
        <f t="shared" si="74"/>
        <v>0.7129752821448827</v>
      </c>
      <c r="E126" s="13">
        <f t="shared" si="75"/>
        <v>0.7129752821448827</v>
      </c>
      <c r="F126">
        <v>0</v>
      </c>
      <c r="G126" s="44">
        <v>0</v>
      </c>
      <c r="H126" s="20">
        <v>1</v>
      </c>
      <c r="J126" s="7" t="s">
        <v>263</v>
      </c>
      <c r="K126">
        <v>7146</v>
      </c>
      <c r="L126" s="44">
        <f t="shared" si="76"/>
        <v>7.2464355973796826</v>
      </c>
      <c r="N126">
        <v>1765</v>
      </c>
      <c r="O126" s="44">
        <f t="shared" si="77"/>
        <v>1.7595804920843801</v>
      </c>
      <c r="Q126">
        <v>16040</v>
      </c>
      <c r="R126" s="44">
        <f t="shared" si="78"/>
        <v>16.299819116720528</v>
      </c>
      <c r="T126">
        <v>3870</v>
      </c>
      <c r="U126" s="44">
        <f t="shared" si="79"/>
        <v>3.8753091735677878</v>
      </c>
      <c r="W126">
        <v>13106</v>
      </c>
      <c r="X126" s="44">
        <f t="shared" si="80"/>
        <v>13.274587258178872</v>
      </c>
      <c r="Z126">
        <v>307</v>
      </c>
      <c r="AA126" s="44">
        <f t="shared" si="81"/>
        <v>0.30512652314787209</v>
      </c>
      <c r="AC126">
        <v>4688</v>
      </c>
      <c r="AD126" s="44">
        <f t="shared" si="82"/>
        <v>4.6878593642190731</v>
      </c>
      <c r="AF126">
        <v>12289</v>
      </c>
      <c r="AG126" s="44">
        <f t="shared" si="83"/>
        <v>12.438636800712572</v>
      </c>
      <c r="AI126">
        <v>8113</v>
      </c>
      <c r="AJ126" s="44">
        <f t="shared" si="84"/>
        <v>8.1636965556103398</v>
      </c>
    </row>
    <row r="127" spans="1:37">
      <c r="A127" t="str">
        <f>+$AF$101</f>
        <v>Toronto, Canada</v>
      </c>
      <c r="B127" s="44">
        <f>$AH$105</f>
        <v>0.51834407869369714</v>
      </c>
      <c r="C127" s="13">
        <f t="shared" si="62"/>
        <v>0.63661250192620045</v>
      </c>
      <c r="D127" s="36">
        <f t="shared" si="74"/>
        <v>0.68752235759808378</v>
      </c>
      <c r="E127" s="13">
        <f t="shared" si="75"/>
        <v>0.68752235759808378</v>
      </c>
      <c r="F127">
        <v>0</v>
      </c>
      <c r="G127" s="44">
        <v>0</v>
      </c>
      <c r="H127" s="20">
        <v>1</v>
      </c>
      <c r="J127" s="7" t="s">
        <v>264</v>
      </c>
      <c r="K127">
        <v>12245</v>
      </c>
      <c r="L127" s="44">
        <f t="shared" si="76"/>
        <v>12.417101020139128</v>
      </c>
      <c r="N127">
        <v>10473</v>
      </c>
      <c r="O127" s="44">
        <f t="shared" si="77"/>
        <v>10.440842206005502</v>
      </c>
      <c r="Q127">
        <v>20209</v>
      </c>
      <c r="R127" s="44">
        <f t="shared" si="78"/>
        <v>20.536349409588848</v>
      </c>
      <c r="T127">
        <v>14737</v>
      </c>
      <c r="U127" s="44">
        <f t="shared" si="79"/>
        <v>14.757217387821314</v>
      </c>
      <c r="W127">
        <v>22522</v>
      </c>
      <c r="X127" s="44">
        <f t="shared" si="80"/>
        <v>22.811708700496304</v>
      </c>
      <c r="Z127">
        <v>6100</v>
      </c>
      <c r="AA127" s="44">
        <f t="shared" si="81"/>
        <v>6.0627745641759594</v>
      </c>
      <c r="AC127">
        <v>8878</v>
      </c>
      <c r="AD127" s="44">
        <f t="shared" si="82"/>
        <v>8.8777336679899612</v>
      </c>
      <c r="AF127">
        <v>27263</v>
      </c>
      <c r="AG127" s="44">
        <f t="shared" si="83"/>
        <v>27.594967458526071</v>
      </c>
      <c r="AI127">
        <v>18460</v>
      </c>
      <c r="AJ127" s="44">
        <f t="shared" si="84"/>
        <v>18.575352941768379</v>
      </c>
    </row>
    <row r="128" spans="1:37">
      <c r="A128" t="str">
        <f>+$AF$81</f>
        <v>Olympia, WA</v>
      </c>
      <c r="B128" s="44">
        <f>$AH$85</f>
        <v>0.51012152614438655</v>
      </c>
      <c r="C128" s="13">
        <f t="shared" si="62"/>
        <v>0.62651384359131956</v>
      </c>
      <c r="D128" s="36">
        <f t="shared" si="74"/>
        <v>0.68116640645945803</v>
      </c>
      <c r="E128" s="13">
        <f t="shared" si="75"/>
        <v>0.68116640645945803</v>
      </c>
      <c r="F128">
        <v>4.5</v>
      </c>
      <c r="G128" s="44">
        <f>F128*$F$23/$F$26*$F$25</f>
        <v>1.4724999999999999</v>
      </c>
      <c r="H128" s="20">
        <f>2^(G128/$B$21)</f>
        <v>1.1074564754411067</v>
      </c>
      <c r="J128" s="7" t="s">
        <v>265</v>
      </c>
      <c r="K128">
        <v>20185</v>
      </c>
      <c r="L128" s="44">
        <f t="shared" si="76"/>
        <v>20.468696128338777</v>
      </c>
      <c r="N128">
        <v>15603</v>
      </c>
      <c r="O128" s="44">
        <f t="shared" si="77"/>
        <v>15.555090321808828</v>
      </c>
      <c r="Q128">
        <v>17442</v>
      </c>
      <c r="R128" s="44">
        <f t="shared" si="78"/>
        <v>17.724528992134626</v>
      </c>
      <c r="T128">
        <v>21837</v>
      </c>
      <c r="U128" s="44">
        <f t="shared" si="79"/>
        <v>21.866957732092967</v>
      </c>
      <c r="W128">
        <v>23918</v>
      </c>
      <c r="X128" s="44">
        <f t="shared" si="80"/>
        <v>24.225665957662311</v>
      </c>
      <c r="Z128">
        <v>10292</v>
      </c>
      <c r="AA128" s="44">
        <f t="shared" si="81"/>
        <v>10.229192756475241</v>
      </c>
      <c r="AC128">
        <v>10964</v>
      </c>
      <c r="AD128" s="44">
        <f t="shared" si="82"/>
        <v>10.963671089867304</v>
      </c>
      <c r="AF128">
        <v>22022</v>
      </c>
      <c r="AG128" s="44">
        <f t="shared" si="83"/>
        <v>22.290150510643038</v>
      </c>
      <c r="AI128">
        <v>19699</v>
      </c>
      <c r="AJ128" s="44">
        <f t="shared" si="84"/>
        <v>19.822095211261935</v>
      </c>
    </row>
    <row r="129" spans="1:37">
      <c r="A129" t="str">
        <f>+$K$161</f>
        <v>Montreal, Canada</v>
      </c>
      <c r="B129" s="44">
        <f>$M$165</f>
        <v>0.50942383492469678</v>
      </c>
      <c r="C129" s="13">
        <f t="shared" si="62"/>
        <v>0.62565696305347684</v>
      </c>
      <c r="D129" s="36">
        <f t="shared" si="74"/>
        <v>0.68062709810288602</v>
      </c>
      <c r="E129" s="13">
        <f t="shared" si="75"/>
        <v>0.68062709810288602</v>
      </c>
      <c r="F129">
        <v>0</v>
      </c>
      <c r="G129" s="44">
        <v>0</v>
      </c>
      <c r="H129" s="20">
        <v>1</v>
      </c>
      <c r="J129" s="7" t="s">
        <v>266</v>
      </c>
      <c r="K129">
        <v>44962</v>
      </c>
      <c r="L129" s="44">
        <f t="shared" si="76"/>
        <v>45.593931896079667</v>
      </c>
      <c r="N129">
        <v>22901</v>
      </c>
      <c r="O129" s="44">
        <f t="shared" si="77"/>
        <v>22.83068150097699</v>
      </c>
      <c r="Q129">
        <v>25992</v>
      </c>
      <c r="R129" s="44">
        <f t="shared" si="78"/>
        <v>26.413023596122187</v>
      </c>
      <c r="T129">
        <v>26079</v>
      </c>
      <c r="U129" s="44">
        <f t="shared" si="79"/>
        <v>26.114777244825412</v>
      </c>
      <c r="W129">
        <v>21553</v>
      </c>
      <c r="X129" s="44">
        <f t="shared" si="80"/>
        <v>21.8302441000709</v>
      </c>
      <c r="Z129">
        <v>25390</v>
      </c>
      <c r="AA129" s="44">
        <f t="shared" si="81"/>
        <v>25.23505675154551</v>
      </c>
      <c r="AC129">
        <v>25659</v>
      </c>
      <c r="AD129" s="44">
        <f t="shared" si="82"/>
        <v>25.658230253092405</v>
      </c>
      <c r="AF129">
        <v>22520</v>
      </c>
      <c r="AG129" s="44">
        <f t="shared" si="83"/>
        <v>22.79421439922265</v>
      </c>
      <c r="AI129">
        <v>24765</v>
      </c>
      <c r="AJ129" s="44">
        <f t="shared" si="84"/>
        <v>24.919751657794905</v>
      </c>
    </row>
    <row r="130" spans="1:37">
      <c r="A130" t="str">
        <f>+$Z$121</f>
        <v>Flagstaff, AZ</v>
      </c>
      <c r="B130" s="44">
        <f>$AB$125</f>
        <v>0.50442711374603599</v>
      </c>
      <c r="C130" s="13">
        <f t="shared" si="62"/>
        <v>0.61952016068275928</v>
      </c>
      <c r="D130" s="36">
        <f t="shared" si="74"/>
        <v>0.67676468245100097</v>
      </c>
      <c r="E130" s="13">
        <f t="shared" si="75"/>
        <v>0.67676468245100097</v>
      </c>
      <c r="F130">
        <v>9</v>
      </c>
      <c r="G130" s="44">
        <f>F130*$F$23/$F$26*$F$25</f>
        <v>2.9449999999999998</v>
      </c>
      <c r="H130" s="20">
        <f>2^(G130/$B$21)</f>
        <v>1.2264598449964383</v>
      </c>
      <c r="J130" s="7" t="s">
        <v>267</v>
      </c>
      <c r="K130">
        <v>13787</v>
      </c>
      <c r="L130" s="44">
        <f t="shared" si="76"/>
        <v>13.980773521001074</v>
      </c>
      <c r="N130">
        <v>29318</v>
      </c>
      <c r="O130" s="44">
        <f t="shared" si="77"/>
        <v>29.227977828288871</v>
      </c>
      <c r="Q130">
        <v>15736</v>
      </c>
      <c r="R130" s="44">
        <f t="shared" si="78"/>
        <v>15.990894864134301</v>
      </c>
      <c r="T130">
        <v>25821</v>
      </c>
      <c r="U130" s="44">
        <f t="shared" si="79"/>
        <v>25.856423299920895</v>
      </c>
      <c r="W130">
        <v>15205</v>
      </c>
      <c r="X130" s="44">
        <f t="shared" si="80"/>
        <v>15.400587460751543</v>
      </c>
      <c r="Z130">
        <v>33950</v>
      </c>
      <c r="AA130" s="44">
        <f t="shared" si="81"/>
        <v>33.742819090782596</v>
      </c>
      <c r="AC130">
        <v>35211</v>
      </c>
      <c r="AD130" s="44">
        <f t="shared" si="82"/>
        <v>35.20994370168895</v>
      </c>
      <c r="AF130">
        <v>13481</v>
      </c>
      <c r="AG130" s="44">
        <f t="shared" si="83"/>
        <v>13.645151168557751</v>
      </c>
      <c r="AI130">
        <v>22753</v>
      </c>
      <c r="AJ130" s="44">
        <f t="shared" si="84"/>
        <v>22.895179061974861</v>
      </c>
    </row>
    <row r="131" spans="1:37">
      <c r="A131" t="str">
        <f>+$Q$61</f>
        <v>Vancouver, BC</v>
      </c>
      <c r="B131" s="44">
        <f>$S$65</f>
        <v>0.50180572932116385</v>
      </c>
      <c r="C131" s="13">
        <f t="shared" si="62"/>
        <v>0.61630066582244591</v>
      </c>
      <c r="D131" s="36">
        <f t="shared" si="74"/>
        <v>0.67473837842677942</v>
      </c>
      <c r="E131" s="13">
        <f t="shared" si="75"/>
        <v>0.67473837842677942</v>
      </c>
      <c r="F131">
        <v>0</v>
      </c>
      <c r="G131" s="44">
        <v>0</v>
      </c>
      <c r="H131" s="20">
        <v>1</v>
      </c>
      <c r="J131" s="7" t="s">
        <v>268</v>
      </c>
      <c r="K131">
        <v>0</v>
      </c>
      <c r="L131" s="44">
        <f t="shared" si="76"/>
        <v>0</v>
      </c>
      <c r="N131">
        <v>17540</v>
      </c>
      <c r="O131" s="44">
        <f t="shared" si="77"/>
        <v>17.486142680543924</v>
      </c>
      <c r="Q131">
        <v>466</v>
      </c>
      <c r="R131" s="44">
        <f t="shared" si="78"/>
        <v>0.47354836087230456</v>
      </c>
      <c r="T131">
        <v>7222</v>
      </c>
      <c r="U131" s="44">
        <f t="shared" si="79"/>
        <v>7.2319077135675887</v>
      </c>
      <c r="W131">
        <v>2032</v>
      </c>
      <c r="X131" s="44">
        <f t="shared" si="80"/>
        <v>2.0581383571356224</v>
      </c>
      <c r="Z131">
        <v>22525</v>
      </c>
      <c r="AA131" s="44">
        <f t="shared" si="81"/>
        <v>22.387540501321883</v>
      </c>
      <c r="AC131">
        <v>14005</v>
      </c>
      <c r="AD131" s="44">
        <f t="shared" si="82"/>
        <v>14.004579862604121</v>
      </c>
      <c r="AF131">
        <v>1162</v>
      </c>
      <c r="AG131" s="44">
        <f t="shared" si="83"/>
        <v>1.1761490733524298</v>
      </c>
      <c r="AI131">
        <v>5318</v>
      </c>
      <c r="AJ131" s="44">
        <f t="shared" si="84"/>
        <v>5.3512311454130153</v>
      </c>
    </row>
    <row r="132" spans="1:37">
      <c r="A132" t="str">
        <f>+$Z$161</f>
        <v>Shannon, Ireland</v>
      </c>
      <c r="B132" s="44">
        <f>$AB$165</f>
        <v>0.49632901571151167</v>
      </c>
      <c r="C132" s="13">
        <f t="shared" si="62"/>
        <v>0.6095743531342398</v>
      </c>
      <c r="D132" s="36">
        <f t="shared" si="74"/>
        <v>0.67050493341144612</v>
      </c>
      <c r="E132" s="13">
        <f t="shared" si="75"/>
        <v>0.67050493341144612</v>
      </c>
      <c r="F132">
        <v>0</v>
      </c>
      <c r="G132" s="44">
        <v>0</v>
      </c>
      <c r="H132" s="20">
        <v>1</v>
      </c>
      <c r="J132" s="7" t="s">
        <v>269</v>
      </c>
      <c r="K132">
        <v>0</v>
      </c>
      <c r="L132" s="44">
        <f t="shared" si="76"/>
        <v>0</v>
      </c>
      <c r="N132">
        <v>2708</v>
      </c>
      <c r="O132" s="44">
        <f t="shared" si="77"/>
        <v>2.6996849702915022</v>
      </c>
      <c r="R132" s="44">
        <v>0</v>
      </c>
      <c r="T132">
        <v>297</v>
      </c>
      <c r="U132" s="44">
        <f t="shared" si="79"/>
        <v>0.29740744820403953</v>
      </c>
      <c r="W132">
        <v>0</v>
      </c>
      <c r="X132" s="44">
        <f t="shared" si="80"/>
        <v>0</v>
      </c>
      <c r="Z132">
        <v>2050</v>
      </c>
      <c r="AA132" s="44">
        <f t="shared" si="81"/>
        <v>2.0374898125509371</v>
      </c>
      <c r="AC132">
        <v>598</v>
      </c>
      <c r="AD132" s="44">
        <f t="shared" si="82"/>
        <v>0.59798206053818381</v>
      </c>
      <c r="AF132">
        <v>0</v>
      </c>
      <c r="AG132" s="44">
        <f t="shared" si="83"/>
        <v>0</v>
      </c>
      <c r="AI132">
        <v>138</v>
      </c>
      <c r="AJ132" s="44">
        <f t="shared" si="84"/>
        <v>0.13886233510097706</v>
      </c>
    </row>
    <row r="133" spans="1:37">
      <c r="A133" t="str">
        <f>+$W$61</f>
        <v>Bellingham, WA</v>
      </c>
      <c r="B133" s="44">
        <f>$Y$65</f>
        <v>0.49506182725133635</v>
      </c>
      <c r="C133" s="13">
        <f t="shared" si="62"/>
        <v>0.60801803552745393</v>
      </c>
      <c r="D133" s="36">
        <f t="shared" si="74"/>
        <v>0.66952540936608385</v>
      </c>
      <c r="E133" s="13">
        <f t="shared" si="75"/>
        <v>0.66952540936608385</v>
      </c>
      <c r="F133">
        <v>4.5</v>
      </c>
      <c r="G133" s="44">
        <f>F133*$F$23/$F$26*$F$25</f>
        <v>1.4724999999999999</v>
      </c>
      <c r="H133" s="20">
        <f>2^(G133/$B$21)</f>
        <v>1.1074564754411067</v>
      </c>
    </row>
    <row r="134" spans="1:37">
      <c r="A134" t="str">
        <f>+$Q$201</f>
        <v>Warsaw, Poland</v>
      </c>
      <c r="B134" s="44">
        <f>$S$205</f>
        <v>0.48850723282988973</v>
      </c>
      <c r="C134" s="13">
        <f t="shared" si="62"/>
        <v>0.59996790642351083</v>
      </c>
      <c r="D134" s="36">
        <f t="shared" si="74"/>
        <v>0.66445877323011704</v>
      </c>
      <c r="E134" s="13">
        <f t="shared" si="75"/>
        <v>0.66445877323011704</v>
      </c>
      <c r="F134">
        <v>0</v>
      </c>
      <c r="G134" s="44">
        <v>0</v>
      </c>
      <c r="H134" s="20">
        <v>1</v>
      </c>
      <c r="K134">
        <f>SUM(K125:K132)</f>
        <v>98614</v>
      </c>
      <c r="L134">
        <f>SUM(L125:L132)</f>
        <v>100</v>
      </c>
      <c r="N134">
        <f>SUM(N125:N132)</f>
        <v>100308</v>
      </c>
      <c r="O134">
        <f>SUM(O125:O132)</f>
        <v>100</v>
      </c>
      <c r="Q134">
        <f>SUM(Q125:Q132)</f>
        <v>98406</v>
      </c>
      <c r="R134">
        <f>SUM(R125:R132)</f>
        <v>100</v>
      </c>
      <c r="T134">
        <f>SUM(T125:T132)</f>
        <v>99863</v>
      </c>
      <c r="U134">
        <f>SUM(U125:U132)</f>
        <v>100.00000000000001</v>
      </c>
      <c r="W134">
        <f>SUM(W125:W132)</f>
        <v>98730</v>
      </c>
      <c r="X134">
        <f>SUM(X125:X132)</f>
        <v>99.999999999999986</v>
      </c>
      <c r="Z134">
        <f>SUM(Z125:Z132)</f>
        <v>100614</v>
      </c>
      <c r="AA134">
        <f>SUM(AA125:AA132)</f>
        <v>100</v>
      </c>
      <c r="AC134">
        <f>SUM(AC125:AC132)</f>
        <v>100003</v>
      </c>
      <c r="AD134">
        <f>SUM(AD125:AD132)</f>
        <v>100</v>
      </c>
      <c r="AF134">
        <f>SUM(AF125:AF132)</f>
        <v>98797</v>
      </c>
      <c r="AG134">
        <f>SUM(AG125:AG132)</f>
        <v>100</v>
      </c>
      <c r="AI134">
        <f>SUM(AI125:AI132)</f>
        <v>99379</v>
      </c>
      <c r="AJ134">
        <f>SUM(AJ125:AJ132)</f>
        <v>99.999999999999986</v>
      </c>
    </row>
    <row r="135" spans="1:37">
      <c r="A135" t="str">
        <f>+$Q$161</f>
        <v>Big Bear City, CA</v>
      </c>
      <c r="B135" s="44">
        <f>$S$165</f>
        <v>0.47751958257823518</v>
      </c>
      <c r="C135" s="13">
        <f t="shared" si="62"/>
        <v>0.58647324948709145</v>
      </c>
      <c r="D135" s="36">
        <f t="shared" si="74"/>
        <v>0.65596542913666034</v>
      </c>
      <c r="E135" s="13">
        <f t="shared" si="75"/>
        <v>0.65596542913666034</v>
      </c>
      <c r="F135">
        <v>9</v>
      </c>
      <c r="G135" s="44">
        <f>F135*$F$23/$F$26*$F$25</f>
        <v>2.9449999999999998</v>
      </c>
      <c r="H135" s="20">
        <f>2^(G135/$B$21)</f>
        <v>1.2264598449964383</v>
      </c>
    </row>
    <row r="136" spans="1:37">
      <c r="A136" t="str">
        <f>+$AC$161</f>
        <v>Dublin, Ireland</v>
      </c>
      <c r="B136" s="44">
        <f>$AE$165</f>
        <v>0.47154278589370763</v>
      </c>
      <c r="C136" s="13">
        <f t="shared" si="62"/>
        <v>0.57913275183844415</v>
      </c>
      <c r="D136" s="36">
        <f t="shared" si="74"/>
        <v>0.65134542489046765</v>
      </c>
      <c r="E136" s="13">
        <f t="shared" si="75"/>
        <v>0.65134542489046765</v>
      </c>
      <c r="F136">
        <v>0</v>
      </c>
      <c r="G136" s="44">
        <v>0</v>
      </c>
      <c r="H136" s="20">
        <v>1</v>
      </c>
      <c r="J136" s="7" t="s">
        <v>270</v>
      </c>
      <c r="K136">
        <v>99301</v>
      </c>
      <c r="N136">
        <v>99301</v>
      </c>
      <c r="Q136">
        <v>99301</v>
      </c>
      <c r="T136">
        <v>99301</v>
      </c>
      <c r="W136">
        <v>99301</v>
      </c>
      <c r="Z136">
        <v>99301</v>
      </c>
      <c r="AC136">
        <v>99301</v>
      </c>
      <c r="AF136">
        <v>99301</v>
      </c>
      <c r="AI136">
        <v>99301</v>
      </c>
    </row>
    <row r="137" spans="1:37">
      <c r="A137" t="str">
        <f>+$AI$1</f>
        <v>Rygge, Norway</v>
      </c>
      <c r="B137" s="44">
        <f>$AK$5</f>
        <v>0.42011966339245665</v>
      </c>
      <c r="C137" s="13">
        <f t="shared" ref="C137:C138" si="85">B137/$F$32</f>
        <v>0.51597662829425339</v>
      </c>
      <c r="D137" s="36">
        <f t="shared" si="74"/>
        <v>0.61159586390518506</v>
      </c>
      <c r="E137" s="13">
        <f t="shared" si="75"/>
        <v>0.61159586390518506</v>
      </c>
      <c r="F137">
        <v>0</v>
      </c>
      <c r="G137" s="44">
        <v>0</v>
      </c>
      <c r="H137" s="20">
        <v>1</v>
      </c>
    </row>
    <row r="138" spans="1:37">
      <c r="A138" t="str">
        <f>+$Z$81</f>
        <v>Juneau, Alaska</v>
      </c>
      <c r="B138" s="44">
        <f>$AB$85</f>
        <v>0.38183215285390815</v>
      </c>
      <c r="C138" s="13">
        <f t="shared" si="85"/>
        <v>0.46895321493165082</v>
      </c>
      <c r="D138" s="36">
        <v>0.58199999999999996</v>
      </c>
      <c r="E138" s="13">
        <f t="shared" si="75"/>
        <v>0.58199999999999996</v>
      </c>
      <c r="F138">
        <v>4.5</v>
      </c>
      <c r="G138" s="44">
        <f>F138*$F$23/$F$26*$F$25</f>
        <v>1.4724999999999999</v>
      </c>
      <c r="H138" s="20">
        <f>2^(G138/$B$21)</f>
        <v>1.1074564754411067</v>
      </c>
      <c r="J138" s="7" t="s">
        <v>271</v>
      </c>
      <c r="K138" s="50">
        <f>((K134/K136)-1)</f>
        <v>-6.9183593317287961E-3</v>
      </c>
      <c r="N138" s="50">
        <f>((N134/N136)-1)</f>
        <v>1.0140884784644699E-2</v>
      </c>
      <c r="Q138" s="50">
        <f>((Q134/Q136)-1)</f>
        <v>-9.0130008761241109E-3</v>
      </c>
      <c r="T138" s="50">
        <f>((T134/T136)-1)</f>
        <v>5.659560326683577E-3</v>
      </c>
      <c r="W138" s="50">
        <f>((W134/W136)-1)</f>
        <v>-5.7501938550468257E-3</v>
      </c>
      <c r="Z138" s="50">
        <f>((Z134/Z136)-1)</f>
        <v>1.3222424748995376E-2</v>
      </c>
      <c r="AC138" s="50">
        <f>((AC134/AC136)-1)</f>
        <v>7.0694152123342846E-3</v>
      </c>
      <c r="AF138" s="50">
        <f>((AF134/AF136)-1)</f>
        <v>-5.0754775883424808E-3</v>
      </c>
      <c r="AI138" s="50">
        <f>((AI134/AI136)-1)</f>
        <v>7.8549057914822917E-4</v>
      </c>
    </row>
    <row r="139" spans="1:37">
      <c r="B139" s="44"/>
    </row>
    <row r="141" spans="1:37">
      <c r="J141" s="7"/>
      <c r="K141" s="7" t="s">
        <v>233</v>
      </c>
      <c r="L141" s="7"/>
      <c r="M141" s="7"/>
      <c r="N141" s="7" t="s">
        <v>234</v>
      </c>
      <c r="O141" s="7"/>
      <c r="P141" s="7"/>
      <c r="Q141" s="7" t="s">
        <v>235</v>
      </c>
      <c r="R141" s="7"/>
      <c r="S141" s="7"/>
      <c r="T141" s="7" t="s">
        <v>236</v>
      </c>
      <c r="U141" s="7"/>
      <c r="V141" s="7"/>
      <c r="W141" s="7" t="s">
        <v>237</v>
      </c>
      <c r="X141" s="7"/>
      <c r="Y141" s="7"/>
      <c r="Z141" s="7" t="s">
        <v>238</v>
      </c>
      <c r="AA141" s="7"/>
      <c r="AB141" s="7"/>
      <c r="AC141" s="7" t="s">
        <v>97</v>
      </c>
      <c r="AD141" s="7"/>
      <c r="AE141" s="7"/>
      <c r="AF141" s="7" t="s">
        <v>239</v>
      </c>
      <c r="AG141" s="7"/>
      <c r="AH141" s="7"/>
      <c r="AI141" s="7" t="s">
        <v>240</v>
      </c>
      <c r="AJ141" s="7"/>
      <c r="AK141" s="7"/>
    </row>
    <row r="142" spans="1:37">
      <c r="A142" s="51"/>
      <c r="B142" s="7"/>
      <c r="C142" s="51" t="s">
        <v>283</v>
      </c>
      <c r="D142" s="7" t="s">
        <v>284</v>
      </c>
      <c r="E142" s="7" t="s">
        <v>285</v>
      </c>
      <c r="F142" s="7" t="s">
        <v>3</v>
      </c>
      <c r="G142" s="7" t="s">
        <v>3</v>
      </c>
      <c r="H142" s="7" t="s">
        <v>3</v>
      </c>
      <c r="M142" s="28" t="s">
        <v>149</v>
      </c>
      <c r="P142" s="28" t="s">
        <v>149</v>
      </c>
      <c r="S142" s="28" t="s">
        <v>149</v>
      </c>
      <c r="V142" s="28" t="s">
        <v>149</v>
      </c>
      <c r="Y142" s="28" t="s">
        <v>149</v>
      </c>
      <c r="AB142" s="28" t="s">
        <v>149</v>
      </c>
      <c r="AE142" s="28" t="s">
        <v>149</v>
      </c>
      <c r="AH142" s="28" t="s">
        <v>149</v>
      </c>
      <c r="AK142" s="28" t="s">
        <v>149</v>
      </c>
    </row>
    <row r="143" spans="1:37">
      <c r="A143" s="51" t="s">
        <v>16</v>
      </c>
      <c r="B143" s="7" t="s">
        <v>73</v>
      </c>
      <c r="C143" s="51" t="s">
        <v>286</v>
      </c>
      <c r="D143" s="7" t="s">
        <v>287</v>
      </c>
      <c r="E143" s="7" t="s">
        <v>288</v>
      </c>
      <c r="F143" s="7" t="s">
        <v>289</v>
      </c>
      <c r="G143" s="7" t="s">
        <v>175</v>
      </c>
      <c r="H143" s="7" t="s">
        <v>73</v>
      </c>
      <c r="J143" s="7" t="s">
        <v>260</v>
      </c>
      <c r="K143" t="s">
        <v>261</v>
      </c>
      <c r="L143" t="s">
        <v>54</v>
      </c>
      <c r="M143" s="28" t="s">
        <v>73</v>
      </c>
      <c r="N143" t="s">
        <v>261</v>
      </c>
      <c r="O143" t="s">
        <v>54</v>
      </c>
      <c r="P143" s="28" t="s">
        <v>73</v>
      </c>
      <c r="Q143" t="s">
        <v>261</v>
      </c>
      <c r="R143" t="s">
        <v>54</v>
      </c>
      <c r="S143" s="28" t="s">
        <v>73</v>
      </c>
      <c r="T143" t="s">
        <v>261</v>
      </c>
      <c r="U143" t="s">
        <v>54</v>
      </c>
      <c r="V143" s="28" t="s">
        <v>73</v>
      </c>
      <c r="W143" t="s">
        <v>261</v>
      </c>
      <c r="X143" t="s">
        <v>54</v>
      </c>
      <c r="Y143" s="28" t="s">
        <v>73</v>
      </c>
      <c r="Z143" t="s">
        <v>261</v>
      </c>
      <c r="AA143" t="s">
        <v>54</v>
      </c>
      <c r="AB143" s="28" t="s">
        <v>73</v>
      </c>
      <c r="AC143" t="s">
        <v>261</v>
      </c>
      <c r="AD143" t="s">
        <v>54</v>
      </c>
      <c r="AE143" s="28" t="s">
        <v>73</v>
      </c>
      <c r="AF143" t="s">
        <v>261</v>
      </c>
      <c r="AG143" t="s">
        <v>54</v>
      </c>
      <c r="AH143" s="28" t="s">
        <v>73</v>
      </c>
      <c r="AI143" t="s">
        <v>261</v>
      </c>
      <c r="AJ143" t="s">
        <v>54</v>
      </c>
      <c r="AK143" s="28" t="s">
        <v>73</v>
      </c>
    </row>
    <row r="144" spans="1:37">
      <c r="C144" s="44"/>
    </row>
    <row r="145" spans="1:37">
      <c r="A145" t="str">
        <f>+$N$101</f>
        <v>Albuquerque, NM</v>
      </c>
      <c r="B145" s="44">
        <f>$P$105</f>
        <v>0.76122490841047907</v>
      </c>
      <c r="C145" s="13">
        <f t="shared" ref="C145:C176" si="86">B145/$F$32</f>
        <v>0.93491044538024648</v>
      </c>
      <c r="D145" s="36">
        <f>$D$117+((C145-$C$117)/($C$86-$C$117)*($D$86-$D$117))</f>
        <v>0.86303407924367126</v>
      </c>
      <c r="E145" s="13">
        <f>E95</f>
        <v>0.86303407924367126</v>
      </c>
      <c r="F145">
        <v>9</v>
      </c>
      <c r="G145" s="44">
        <f t="shared" ref="G145:G159" si="87">F145*$F$23/$F$26*$F$25</f>
        <v>2.9449999999999998</v>
      </c>
      <c r="H145" s="20">
        <f t="shared" ref="H145:H159" si="88">2^(G145/$B$21)</f>
        <v>1.2264598449964383</v>
      </c>
      <c r="J145" s="7" t="s">
        <v>262</v>
      </c>
      <c r="K145">
        <v>0</v>
      </c>
      <c r="L145" s="44">
        <f t="shared" ref="L145:L152" si="89">K145/$K$154*100</f>
        <v>0</v>
      </c>
      <c r="M145" s="13">
        <f>((L145*$A$25)+(L146*$A$26)+(L147*$A$27)+(L148*$A$28)+(L149*$A$29)+(L150*$A$30)+(L151*$A$31)+(L152*$A$32))/100</f>
        <v>1.5240387056599003</v>
      </c>
      <c r="N145">
        <v>0</v>
      </c>
      <c r="O145" s="44">
        <f t="shared" ref="O145:O152" si="90">N145/$N$154*100</f>
        <v>0</v>
      </c>
      <c r="P145" s="13">
        <f>((O145*$A$25)+(O146*$A$26)+(O147*$A$27)+(O148*$A$28)+(O149*$A$29)+(O150*$A$30)+(O151*$A$31)+(O152*$A$32))/100</f>
        <v>0.55127196077696727</v>
      </c>
      <c r="Q145">
        <v>0</v>
      </c>
      <c r="R145" s="44">
        <f t="shared" ref="R145:R152" si="91">Q145/$Q$154*100</f>
        <v>0</v>
      </c>
      <c r="S145" s="13">
        <f>((R145*$A$25)+(R146*$A$26)+(R147*$A$27)+(R148*$A$28)+(R149*$A$29)+(R150*$A$30)+(R151*$A$31)+(R152*$A$32))/100</f>
        <v>0.95708794292533228</v>
      </c>
      <c r="T145">
        <v>0</v>
      </c>
      <c r="U145" s="44">
        <f t="shared" ref="U145:U152" si="92">T145/$T$154*100</f>
        <v>0</v>
      </c>
      <c r="V145" s="13">
        <f>((U145*$A$25)+(U146*$A$26)+(U147*$A$27)+(U148*$A$28)+(U149*$A$29)+(U150*$A$30)+(U151*$A$31)+(U152*$A$32))/100</f>
        <v>0.55707471095431305</v>
      </c>
      <c r="W145">
        <v>0</v>
      </c>
      <c r="X145" s="44">
        <f t="shared" ref="X145:X152" si="93">W145/$W$154*100</f>
        <v>0</v>
      </c>
      <c r="Y145" s="13">
        <f>((X145*$A$25)+(X146*$A$26)+(X147*$A$27)+(X148*$A$28)+(X149*$A$29)+(X150*$A$30)+(X151*$A$31)+(X152*$A$32))/100</f>
        <v>0.71254304873275498</v>
      </c>
      <c r="Z145">
        <v>0</v>
      </c>
      <c r="AA145" s="44">
        <f t="shared" ref="AA145:AA152" si="94">Z145/$Z$154*100</f>
        <v>0</v>
      </c>
      <c r="AB145" s="13">
        <f>((AA145*$A$25)+(AA146*$A$26)+(AA147*$A$27)+(AA148*$A$28)+(AA149*$A$29)+(AA150*$A$30)+(AA151*$A$31)+(AA152*$A$32))/100</f>
        <v>1.1092392768961767</v>
      </c>
      <c r="AC145">
        <v>0</v>
      </c>
      <c r="AD145" s="44">
        <f t="shared" ref="AD145:AD152" si="95">AC145/$AC$154*100</f>
        <v>0</v>
      </c>
      <c r="AE145" s="13">
        <f>((AD145*$A$25)+(AD146*$A$26)+(AD147*$A$27)+(AD148*$A$28)+(AD149*$A$29)+(AD150*$A$30)+(AD151*$A$31)+(AD152*$A$32))/100</f>
        <v>0.62718704748422083</v>
      </c>
      <c r="AF145">
        <v>0</v>
      </c>
      <c r="AG145" s="44">
        <f t="shared" ref="AG145:AG152" si="96">AF145/$AF$154*100</f>
        <v>0</v>
      </c>
      <c r="AH145" s="13">
        <f>((AG145*$A$25)+(AG146*$A$26)+(AG147*$A$27)+(AG148*$A$28)+(AG149*$A$29)+(AG150*$A$30)+(AG151*$A$31)+(AG152*$A$32))/100</f>
        <v>1.1569158766194116</v>
      </c>
      <c r="AI145">
        <v>0</v>
      </c>
      <c r="AJ145" s="44">
        <f t="shared" ref="AJ145:AJ152" si="97">AI145/$AI$154*100</f>
        <v>0</v>
      </c>
      <c r="AK145" s="13">
        <f>((AJ145*$A$25)+(AJ146*$A$26)+(AJ147*$A$27)+(AJ148*$A$28)+(AJ149*$A$29)+(AJ150*$A$30)+(AJ151*$A$31)+(AJ152*$A$32))/100</f>
        <v>0.55888090338578356</v>
      </c>
    </row>
    <row r="146" spans="1:37">
      <c r="A146" t="str">
        <f>+$K$41</f>
        <v>Anaheim, CA</v>
      </c>
      <c r="B146" s="44">
        <f>$M$45</f>
        <v>0.86449389344046823</v>
      </c>
      <c r="C146" s="13">
        <f t="shared" si="86"/>
        <v>1.0617418873386479</v>
      </c>
      <c r="D146" s="36">
        <f>$D$86+((C146-$C$86)/($C$43-$C$86)*($D$43-$D$86))</f>
        <v>0.93428996946818055</v>
      </c>
      <c r="E146" s="13">
        <f>B146*0.9/$B$86</f>
        <v>0.95556769860478319</v>
      </c>
      <c r="F146">
        <v>7.5</v>
      </c>
      <c r="G146" s="44">
        <f t="shared" si="87"/>
        <v>2.4541666666666666</v>
      </c>
      <c r="H146" s="20">
        <f t="shared" si="88"/>
        <v>1.1854350885855089</v>
      </c>
      <c r="J146" s="7" t="s">
        <v>263</v>
      </c>
      <c r="K146">
        <v>11906</v>
      </c>
      <c r="L146" s="44">
        <f t="shared" si="89"/>
        <v>12.143403539191187</v>
      </c>
      <c r="N146">
        <v>564</v>
      </c>
      <c r="O146" s="44">
        <f t="shared" si="90"/>
        <v>0.561792156823683</v>
      </c>
      <c r="Q146">
        <v>8330</v>
      </c>
      <c r="R146" s="44">
        <f t="shared" si="91"/>
        <v>8.389396930266285</v>
      </c>
      <c r="T146">
        <v>1212</v>
      </c>
      <c r="U146" s="44">
        <f t="shared" si="92"/>
        <v>1.2068707991038088</v>
      </c>
      <c r="W146">
        <v>3096</v>
      </c>
      <c r="X146" s="44">
        <f t="shared" si="93"/>
        <v>3.095504719244921</v>
      </c>
      <c r="Z146">
        <v>8803</v>
      </c>
      <c r="AA146" s="44">
        <f t="shared" si="94"/>
        <v>8.9009100101112235</v>
      </c>
      <c r="AC146">
        <v>1164</v>
      </c>
      <c r="AD146" s="44">
        <f t="shared" si="95"/>
        <v>1.1595819926081627</v>
      </c>
      <c r="AF146">
        <v>110</v>
      </c>
      <c r="AG146" s="44">
        <f t="shared" si="96"/>
        <v>0.11143754432175058</v>
      </c>
      <c r="AI146">
        <v>885</v>
      </c>
      <c r="AJ146" s="44">
        <f t="shared" si="97"/>
        <v>0.88058825285320541</v>
      </c>
    </row>
    <row r="147" spans="1:37">
      <c r="A147" t="str">
        <f>+$W$81</f>
        <v>Atlanta, Georgia</v>
      </c>
      <c r="B147" s="44">
        <f>$Y$85</f>
        <v>0.86884582393450804</v>
      </c>
      <c r="C147" s="13">
        <f t="shared" si="86"/>
        <v>1.0670867798027457</v>
      </c>
      <c r="D147" s="36">
        <f>$D$86+((C147-$C$86)/($C$43-$C$86)*($D$43-$D$86))</f>
        <v>0.93725839507524655</v>
      </c>
      <c r="E147" s="13">
        <f>E78</f>
        <v>0.96037810182247119</v>
      </c>
      <c r="F147">
        <v>6.5</v>
      </c>
      <c r="G147" s="44">
        <f t="shared" si="87"/>
        <v>2.1269444444444443</v>
      </c>
      <c r="H147" s="20">
        <f t="shared" si="88"/>
        <v>1.1588504872049772</v>
      </c>
      <c r="J147" s="7" t="s">
        <v>264</v>
      </c>
      <c r="K147">
        <v>74442</v>
      </c>
      <c r="L147" s="44">
        <f t="shared" si="89"/>
        <v>75.926360344739663</v>
      </c>
      <c r="N147">
        <v>5052</v>
      </c>
      <c r="O147" s="44">
        <f t="shared" si="90"/>
        <v>5.032223362186607</v>
      </c>
      <c r="Q147">
        <v>20154</v>
      </c>
      <c r="R147" s="44">
        <f t="shared" si="91"/>
        <v>20.297707771018814</v>
      </c>
      <c r="T147">
        <v>8311</v>
      </c>
      <c r="U147" s="44">
        <f t="shared" si="92"/>
        <v>8.2758277321384117</v>
      </c>
      <c r="W147">
        <v>13123</v>
      </c>
      <c r="X147" s="44">
        <f t="shared" si="93"/>
        <v>13.120900655895056</v>
      </c>
      <c r="Z147">
        <v>30890</v>
      </c>
      <c r="AA147" s="44">
        <f t="shared" si="94"/>
        <v>31.233569261880689</v>
      </c>
      <c r="AC147">
        <v>9674</v>
      </c>
      <c r="AD147" s="44">
        <f t="shared" si="95"/>
        <v>9.6372819557485965</v>
      </c>
      <c r="AF147">
        <v>36950</v>
      </c>
      <c r="AG147" s="44">
        <f t="shared" si="96"/>
        <v>37.432884206260766</v>
      </c>
      <c r="AI147">
        <v>7580</v>
      </c>
      <c r="AJ147" s="44">
        <f t="shared" si="97"/>
        <v>7.5422135103133305</v>
      </c>
    </row>
    <row r="148" spans="1:37">
      <c r="A148" t="str">
        <f>+$W$121</f>
        <v>Austin, TX</v>
      </c>
      <c r="B148" s="44">
        <f>$Y$125</f>
        <v>1.0973593239325188</v>
      </c>
      <c r="C148" s="13">
        <f t="shared" si="86"/>
        <v>1.347739259376282</v>
      </c>
      <c r="D148" s="36">
        <f>$D$86+((C148-$C$86)/($C$43-$C$86)*($D$43-$D$86))</f>
        <v>1.0931260785971555</v>
      </c>
      <c r="E148" s="13">
        <f>E58</f>
        <v>1.2129653334386539</v>
      </c>
      <c r="F148">
        <v>6.5</v>
      </c>
      <c r="G148" s="44">
        <f t="shared" si="87"/>
        <v>2.1269444444444443</v>
      </c>
      <c r="H148" s="20">
        <f t="shared" si="88"/>
        <v>1.1588504872049772</v>
      </c>
      <c r="J148" s="7" t="s">
        <v>265</v>
      </c>
      <c r="K148">
        <v>11697</v>
      </c>
      <c r="L148" s="44">
        <f t="shared" si="89"/>
        <v>11.930236116069153</v>
      </c>
      <c r="N148">
        <v>12894</v>
      </c>
      <c r="O148" s="44">
        <f t="shared" si="90"/>
        <v>12.843524946958453</v>
      </c>
      <c r="Q148">
        <v>23487</v>
      </c>
      <c r="R148" s="44">
        <f t="shared" si="91"/>
        <v>23.654473673609154</v>
      </c>
      <c r="T148">
        <v>13726</v>
      </c>
      <c r="U148" s="44">
        <f t="shared" si="92"/>
        <v>13.667911376649242</v>
      </c>
      <c r="W148">
        <v>17505</v>
      </c>
      <c r="X148" s="44">
        <f t="shared" si="93"/>
        <v>17.502199648056312</v>
      </c>
      <c r="Z148">
        <v>25356</v>
      </c>
      <c r="AA148" s="44">
        <f t="shared" si="94"/>
        <v>25.638018200202222</v>
      </c>
      <c r="AC148">
        <v>17963</v>
      </c>
      <c r="AD148" s="44">
        <f t="shared" si="95"/>
        <v>17.89482073300724</v>
      </c>
      <c r="AF148">
        <v>56365</v>
      </c>
      <c r="AG148" s="44">
        <f t="shared" si="96"/>
        <v>57.101610779049736</v>
      </c>
      <c r="AI148">
        <v>14027</v>
      </c>
      <c r="AJ148" s="44">
        <f t="shared" si="97"/>
        <v>13.957075053979562</v>
      </c>
    </row>
    <row r="149" spans="1:37">
      <c r="A149" t="str">
        <f>+$AI$21</f>
        <v>Bakersfield, CA</v>
      </c>
      <c r="B149" s="44">
        <f>$AK$25</f>
        <v>1.0007769956879129</v>
      </c>
      <c r="C149" s="13">
        <f t="shared" si="86"/>
        <v>1.2291201410087904</v>
      </c>
      <c r="D149" s="36">
        <f>$D$86+((C149-$C$86)/($C$43-$C$86)*($D$43-$D$86))</f>
        <v>1.0272478535786318</v>
      </c>
      <c r="E149" s="13">
        <f>E63</f>
        <v>1.1062081269079114</v>
      </c>
      <c r="F149">
        <v>7.5</v>
      </c>
      <c r="G149" s="44">
        <f t="shared" si="87"/>
        <v>2.4541666666666666</v>
      </c>
      <c r="H149" s="20">
        <f t="shared" si="88"/>
        <v>1.1854350885855089</v>
      </c>
      <c r="J149" s="7" t="s">
        <v>266</v>
      </c>
      <c r="K149">
        <v>0</v>
      </c>
      <c r="L149" s="44">
        <f t="shared" si="89"/>
        <v>0</v>
      </c>
      <c r="N149">
        <v>31836</v>
      </c>
      <c r="O149" s="44">
        <f t="shared" si="90"/>
        <v>31.711374299004913</v>
      </c>
      <c r="Q149">
        <v>24880</v>
      </c>
      <c r="R149" s="44">
        <f t="shared" si="91"/>
        <v>25.057406437578049</v>
      </c>
      <c r="T149">
        <v>22987</v>
      </c>
      <c r="U149" s="44">
        <f t="shared" si="92"/>
        <v>22.889718695543937</v>
      </c>
      <c r="W149">
        <v>25089</v>
      </c>
      <c r="X149" s="44">
        <f t="shared" si="93"/>
        <v>25.084986402175652</v>
      </c>
      <c r="Z149">
        <v>24095</v>
      </c>
      <c r="AA149" s="44">
        <f t="shared" si="94"/>
        <v>24.362992922143579</v>
      </c>
      <c r="AC149">
        <v>26044</v>
      </c>
      <c r="AD149" s="44">
        <f t="shared" si="95"/>
        <v>25.945148982377141</v>
      </c>
      <c r="AF149">
        <v>5285</v>
      </c>
      <c r="AG149" s="44">
        <f t="shared" si="96"/>
        <v>5.3540674703677436</v>
      </c>
      <c r="AI149">
        <v>25235</v>
      </c>
      <c r="AJ149" s="44">
        <f t="shared" si="97"/>
        <v>25.109202893503547</v>
      </c>
    </row>
    <row r="150" spans="1:37">
      <c r="A150" t="str">
        <f>+$W$61</f>
        <v>Bellingham, WA</v>
      </c>
      <c r="B150" s="44">
        <f>$Y$65</f>
        <v>0.49506182725133635</v>
      </c>
      <c r="C150" s="13">
        <f t="shared" si="86"/>
        <v>0.60801803552745393</v>
      </c>
      <c r="D150" s="36">
        <f>$D$138+((C150-$C$138)/($C$117-$C$138)*($D$117-$D$138))</f>
        <v>0.66952540936608385</v>
      </c>
      <c r="E150" s="13">
        <f>E133</f>
        <v>0.66952540936608385</v>
      </c>
      <c r="F150">
        <v>4.5</v>
      </c>
      <c r="G150" s="44">
        <f t="shared" si="87"/>
        <v>1.4724999999999999</v>
      </c>
      <c r="H150" s="20">
        <f t="shared" si="88"/>
        <v>1.1074564754411067</v>
      </c>
      <c r="J150" s="7" t="s">
        <v>267</v>
      </c>
      <c r="K150">
        <v>0</v>
      </c>
      <c r="L150" s="44">
        <f t="shared" si="89"/>
        <v>0</v>
      </c>
      <c r="N150">
        <v>35535</v>
      </c>
      <c r="O150" s="44">
        <f t="shared" si="90"/>
        <v>35.395894136045342</v>
      </c>
      <c r="Q150">
        <v>18643</v>
      </c>
      <c r="R150" s="44">
        <f t="shared" si="91"/>
        <v>18.775933609958507</v>
      </c>
      <c r="T150">
        <v>27075</v>
      </c>
      <c r="U150" s="44">
        <f t="shared" si="92"/>
        <v>26.960418222554143</v>
      </c>
      <c r="W150">
        <v>29732</v>
      </c>
      <c r="X150" s="44">
        <f t="shared" si="93"/>
        <v>29.727243641017438</v>
      </c>
      <c r="Z150">
        <v>9304</v>
      </c>
      <c r="AA150" s="44">
        <f t="shared" si="94"/>
        <v>9.4074823053589487</v>
      </c>
      <c r="AC150">
        <v>27836</v>
      </c>
      <c r="AD150" s="44">
        <f t="shared" si="95"/>
        <v>27.730347376495551</v>
      </c>
      <c r="AF150">
        <v>0</v>
      </c>
      <c r="AG150" s="44">
        <f t="shared" si="96"/>
        <v>0</v>
      </c>
      <c r="AI150">
        <v>29859</v>
      </c>
      <c r="AJ150" s="44">
        <f t="shared" si="97"/>
        <v>29.710152137789674</v>
      </c>
    </row>
    <row r="151" spans="1:37">
      <c r="A151" t="str">
        <f>+$Q$161</f>
        <v>Big Bear City, CA</v>
      </c>
      <c r="B151" s="44">
        <f>$S$165</f>
        <v>0.47751958257823518</v>
      </c>
      <c r="C151" s="13">
        <f t="shared" si="86"/>
        <v>0.58647324948709145</v>
      </c>
      <c r="D151" s="36">
        <f>$D$138+((C151-$C$138)/($C$117-$C$138)*($D$117-$D$138))</f>
        <v>0.65596542913666034</v>
      </c>
      <c r="E151" s="13">
        <f>E135</f>
        <v>0.65596542913666034</v>
      </c>
      <c r="F151">
        <v>9</v>
      </c>
      <c r="G151" s="44">
        <f t="shared" si="87"/>
        <v>2.9449999999999998</v>
      </c>
      <c r="H151" s="20">
        <f t="shared" si="88"/>
        <v>1.2264598449964383</v>
      </c>
      <c r="J151" s="7" t="s">
        <v>268</v>
      </c>
      <c r="K151">
        <v>0</v>
      </c>
      <c r="L151" s="44">
        <f t="shared" si="89"/>
        <v>0</v>
      </c>
      <c r="N151">
        <v>13872</v>
      </c>
      <c r="O151" s="44">
        <f t="shared" si="90"/>
        <v>13.817696452939945</v>
      </c>
      <c r="Q151">
        <v>3798</v>
      </c>
      <c r="R151" s="44">
        <f t="shared" si="91"/>
        <v>3.8250815775691902</v>
      </c>
      <c r="T151">
        <v>20149</v>
      </c>
      <c r="U151" s="44">
        <f t="shared" si="92"/>
        <v>20.063729151107793</v>
      </c>
      <c r="W151">
        <v>10872</v>
      </c>
      <c r="X151" s="44">
        <f t="shared" si="93"/>
        <v>10.870260758278675</v>
      </c>
      <c r="Z151">
        <v>452</v>
      </c>
      <c r="AA151" s="44">
        <f t="shared" si="94"/>
        <v>0.45702730030333666</v>
      </c>
      <c r="AC151">
        <v>15465</v>
      </c>
      <c r="AD151" s="44">
        <f t="shared" si="95"/>
        <v>15.40630198942031</v>
      </c>
      <c r="AF151">
        <v>0</v>
      </c>
      <c r="AG151" s="44">
        <f t="shared" si="96"/>
        <v>0</v>
      </c>
      <c r="AI151">
        <v>18539</v>
      </c>
      <c r="AJ151" s="44">
        <f t="shared" si="97"/>
        <v>18.446582621068448</v>
      </c>
    </row>
    <row r="152" spans="1:37">
      <c r="A152" t="str">
        <f>+$E$1</f>
        <v>Boston, MA</v>
      </c>
      <c r="B152" s="44">
        <f>$G$5</f>
        <v>0.59917001435654971</v>
      </c>
      <c r="C152" s="13">
        <f t="shared" si="86"/>
        <v>0.73588015682548735</v>
      </c>
      <c r="D152" s="27">
        <v>0.75</v>
      </c>
      <c r="E152" s="13">
        <f>E117</f>
        <v>0.75</v>
      </c>
      <c r="F152">
        <v>5.5</v>
      </c>
      <c r="G152" s="44">
        <f t="shared" si="87"/>
        <v>1.7997222222222222</v>
      </c>
      <c r="H152" s="20">
        <f t="shared" si="88"/>
        <v>1.1328620728593721</v>
      </c>
      <c r="J152" s="7" t="s">
        <v>269</v>
      </c>
      <c r="K152">
        <v>0</v>
      </c>
      <c r="L152" s="44">
        <f t="shared" si="89"/>
        <v>0</v>
      </c>
      <c r="N152">
        <v>640</v>
      </c>
      <c r="O152" s="44">
        <f t="shared" si="90"/>
        <v>0.63749464604105865</v>
      </c>
      <c r="Q152">
        <v>0</v>
      </c>
      <c r="R152" s="44">
        <f t="shared" si="91"/>
        <v>0</v>
      </c>
      <c r="T152">
        <v>6965</v>
      </c>
      <c r="U152" s="44">
        <f t="shared" si="92"/>
        <v>6.9355240229026647</v>
      </c>
      <c r="W152">
        <v>599</v>
      </c>
      <c r="X152" s="44">
        <f t="shared" si="93"/>
        <v>0.59890417533194684</v>
      </c>
      <c r="Z152">
        <v>0</v>
      </c>
      <c r="AA152" s="44">
        <f t="shared" si="94"/>
        <v>0</v>
      </c>
      <c r="AC152">
        <v>2235</v>
      </c>
      <c r="AD152" s="44">
        <f t="shared" si="95"/>
        <v>2.2265169703429932</v>
      </c>
      <c r="AF152">
        <v>0</v>
      </c>
      <c r="AG152" s="44">
        <f t="shared" si="96"/>
        <v>0</v>
      </c>
      <c r="AI152">
        <v>4376</v>
      </c>
      <c r="AJ152" s="44">
        <f t="shared" si="97"/>
        <v>4.3541855304922343</v>
      </c>
    </row>
    <row r="153" spans="1:37">
      <c r="A153" t="str">
        <f>+$T$181</f>
        <v>Burbank, CA</v>
      </c>
      <c r="B153" s="44">
        <f>$V$185</f>
        <v>0.86982941334794583</v>
      </c>
      <c r="C153" s="13">
        <f t="shared" si="86"/>
        <v>1.0682947907419944</v>
      </c>
      <c r="D153" s="36">
        <f>$D$86+((C153-$C$86)/($C$43-$C$86)*($D$43-$D$86))</f>
        <v>0.93792929549649318</v>
      </c>
      <c r="E153" s="13">
        <f>E77</f>
        <v>0.96146531166779492</v>
      </c>
      <c r="F153">
        <v>7.5</v>
      </c>
      <c r="G153" s="44">
        <f t="shared" si="87"/>
        <v>2.4541666666666666</v>
      </c>
      <c r="H153" s="20">
        <f t="shared" si="88"/>
        <v>1.1854350885855089</v>
      </c>
    </row>
    <row r="154" spans="1:37">
      <c r="A154" t="str">
        <f>+$T$81</f>
        <v>Charlotte, NC</v>
      </c>
      <c r="B154" s="44">
        <f>$V$85</f>
        <v>0.83121575724625185</v>
      </c>
      <c r="C154" s="13">
        <f t="shared" si="86"/>
        <v>1.0208708165328795</v>
      </c>
      <c r="D154" s="36">
        <f>$D$86+((C154-$C$86)/($C$43-$C$86)*($D$43-$D$86))</f>
        <v>0.9115911529844094</v>
      </c>
      <c r="E154" s="13">
        <f>E82</f>
        <v>0.91878373487959153</v>
      </c>
      <c r="F154">
        <v>6.5</v>
      </c>
      <c r="G154" s="44">
        <f t="shared" si="87"/>
        <v>2.1269444444444443</v>
      </c>
      <c r="H154" s="20">
        <f t="shared" si="88"/>
        <v>1.1588504872049772</v>
      </c>
      <c r="K154">
        <f>SUM(K145:K152)</f>
        <v>98045</v>
      </c>
      <c r="L154">
        <f>SUM(L145:L152)</f>
        <v>100</v>
      </c>
      <c r="N154">
        <f>SUM(N145:N152)</f>
        <v>100393</v>
      </c>
      <c r="O154">
        <f>SUM(O145:O152)</f>
        <v>100</v>
      </c>
      <c r="Q154">
        <f>SUM(Q145:Q152)</f>
        <v>99292</v>
      </c>
      <c r="R154">
        <f>SUM(R145:R152)</f>
        <v>100</v>
      </c>
      <c r="T154">
        <f>SUM(T145:T152)</f>
        <v>100425</v>
      </c>
      <c r="U154">
        <f>SUM(U145:U152)</f>
        <v>100</v>
      </c>
      <c r="W154">
        <f>SUM(W145:W152)</f>
        <v>100016</v>
      </c>
      <c r="X154">
        <f>SUM(X145:X152)</f>
        <v>100.00000000000001</v>
      </c>
      <c r="Z154">
        <f>SUM(Z145:Z152)</f>
        <v>98900</v>
      </c>
      <c r="AA154">
        <f>SUM(AA145:AA152)</f>
        <v>100</v>
      </c>
      <c r="AC154">
        <f>SUM(AC145:AC152)</f>
        <v>100381</v>
      </c>
      <c r="AD154">
        <f>SUM(AD145:AD152)</f>
        <v>100</v>
      </c>
      <c r="AF154">
        <f>SUM(AF145:AF152)</f>
        <v>98710</v>
      </c>
      <c r="AG154">
        <f>SUM(AG145:AG152)</f>
        <v>100</v>
      </c>
      <c r="AI154">
        <f>SUM(AI145:AI152)</f>
        <v>100501</v>
      </c>
      <c r="AJ154">
        <f>SUM(AJ145:AJ152)</f>
        <v>100</v>
      </c>
    </row>
    <row r="155" spans="1:37">
      <c r="A155" t="str">
        <f>+$N$21</f>
        <v>Chicago, IL</v>
      </c>
      <c r="B155" s="44">
        <f>$P$25</f>
        <v>0.63609894174488324</v>
      </c>
      <c r="C155" s="13">
        <f t="shared" si="86"/>
        <v>0.78123500474308127</v>
      </c>
      <c r="D155" s="36">
        <f>$D$117+((C155-$C$117)/($C$86-$C$117)*($D$86-$D$117))</f>
        <v>0.7757581070239542</v>
      </c>
      <c r="E155" s="13">
        <f>E113</f>
        <v>0.7757581070239542</v>
      </c>
      <c r="F155">
        <v>5.5</v>
      </c>
      <c r="G155" s="44">
        <f t="shared" si="87"/>
        <v>1.7997222222222222</v>
      </c>
      <c r="H155" s="20">
        <f t="shared" si="88"/>
        <v>1.1328620728593721</v>
      </c>
    </row>
    <row r="156" spans="1:37">
      <c r="A156" t="str">
        <f>+$W$101</f>
        <v>Columbus, OH</v>
      </c>
      <c r="B156" s="44">
        <f>$Y$105</f>
        <v>0.65695252811039662</v>
      </c>
      <c r="C156" s="13">
        <f t="shared" si="86"/>
        <v>0.80684666760559565</v>
      </c>
      <c r="D156" s="36">
        <f>$D$117+((C156-$C$117)/($C$86-$C$117)*($D$86-$D$117))</f>
        <v>0.79030358525535982</v>
      </c>
      <c r="E156" s="13">
        <f>E109</f>
        <v>0.79030358525535982</v>
      </c>
      <c r="F156">
        <v>5.5</v>
      </c>
      <c r="G156" s="44">
        <f t="shared" si="87"/>
        <v>1.7997222222222222</v>
      </c>
      <c r="H156" s="20">
        <f t="shared" si="88"/>
        <v>1.1328620728593721</v>
      </c>
      <c r="J156" s="7" t="s">
        <v>270</v>
      </c>
      <c r="K156">
        <v>99301</v>
      </c>
      <c r="N156">
        <v>99301</v>
      </c>
      <c r="Q156">
        <v>99301</v>
      </c>
      <c r="T156">
        <v>99301</v>
      </c>
      <c r="W156">
        <v>99301</v>
      </c>
      <c r="Z156">
        <v>99301</v>
      </c>
      <c r="AC156">
        <v>99301</v>
      </c>
      <c r="AF156">
        <v>99301</v>
      </c>
      <c r="AI156">
        <v>99301</v>
      </c>
    </row>
    <row r="157" spans="1:37">
      <c r="A157" t="str">
        <f>+$AF$21</f>
        <v>Dallas, TX</v>
      </c>
      <c r="B157" s="44">
        <f>$AH$25</f>
        <v>1.0753402055209287</v>
      </c>
      <c r="C157" s="13">
        <f t="shared" si="86"/>
        <v>1.3206961298443731</v>
      </c>
      <c r="D157" s="36">
        <f>$D$86+((C157-$C$86)/($C$43-$C$86)*($D$43-$D$86))</f>
        <v>1.0781069704042521</v>
      </c>
      <c r="E157" s="13">
        <f>E59</f>
        <v>1.1886265168599359</v>
      </c>
      <c r="F157">
        <v>7</v>
      </c>
      <c r="G157" s="44">
        <f t="shared" si="87"/>
        <v>2.2905555555555552</v>
      </c>
      <c r="H157" s="20">
        <f t="shared" si="88"/>
        <v>1.1720674169847023</v>
      </c>
    </row>
    <row r="158" spans="1:37">
      <c r="A158" t="str">
        <f>+$K$21</f>
        <v>Denver, CO</v>
      </c>
      <c r="B158" s="44">
        <f>$M$25</f>
        <v>0.5932231435942471</v>
      </c>
      <c r="C158" s="13">
        <f t="shared" si="86"/>
        <v>0.72857641317288857</v>
      </c>
      <c r="D158" s="36">
        <f>$D$138+((C158-$C$138)/($C$117-$C$138)*($D$117-$D$138))</f>
        <v>0.74540312819331433</v>
      </c>
      <c r="E158" s="13">
        <f>E118</f>
        <v>0.74540312819331433</v>
      </c>
      <c r="F158">
        <v>7.5</v>
      </c>
      <c r="G158" s="44">
        <f t="shared" si="87"/>
        <v>2.4541666666666666</v>
      </c>
      <c r="H158" s="20">
        <f t="shared" si="88"/>
        <v>1.1854350885855089</v>
      </c>
      <c r="J158" s="7" t="s">
        <v>271</v>
      </c>
      <c r="K158" s="50">
        <f>((K154/K156)-1)</f>
        <v>-1.2648412402694875E-2</v>
      </c>
      <c r="N158" s="50">
        <f>((N154/N156)-1)</f>
        <v>1.099686810807543E-2</v>
      </c>
      <c r="Q158" s="50">
        <f>((Q154/Q156)-1)</f>
        <v>-9.0633528363248672E-5</v>
      </c>
      <c r="T158" s="50">
        <f>((T154/T156)-1)</f>
        <v>1.1319120653366932E-2</v>
      </c>
      <c r="W158" s="50">
        <f>((W154/W156)-1)</f>
        <v>7.2003303088590265E-3</v>
      </c>
      <c r="Z158" s="50">
        <f>((Z154/Z156)-1)</f>
        <v>-4.0382272081852522E-3</v>
      </c>
      <c r="AC158" s="50">
        <f>((AC154/AC156)-1)</f>
        <v>1.0876023403591173E-2</v>
      </c>
      <c r="AF158" s="50">
        <f>((AF154/AF156)-1)</f>
        <v>-5.9516016958540696E-3</v>
      </c>
      <c r="AI158" s="50">
        <f>((AI154/AI156)-1)</f>
        <v>1.2084470448434637E-2</v>
      </c>
    </row>
    <row r="159" spans="1:37">
      <c r="A159" t="str">
        <f>+$N$121</f>
        <v>Detroit, MI</v>
      </c>
      <c r="B159" s="44">
        <f>$P$125</f>
        <v>0.61946682505626338</v>
      </c>
      <c r="C159" s="13">
        <f t="shared" si="86"/>
        <v>0.76080800682279126</v>
      </c>
      <c r="D159" s="36">
        <f>$D$117+((C159-$C$117)/($C$86-$C$117)*($D$86-$D$117))</f>
        <v>0.76415712448808704</v>
      </c>
      <c r="E159" s="13">
        <f>E115</f>
        <v>0.76415712448808704</v>
      </c>
      <c r="F159">
        <v>5.5</v>
      </c>
      <c r="G159" s="44">
        <f t="shared" si="87"/>
        <v>1.7997222222222222</v>
      </c>
      <c r="H159" s="20">
        <f t="shared" si="88"/>
        <v>1.1328620728593721</v>
      </c>
    </row>
    <row r="160" spans="1:37">
      <c r="A160" t="str">
        <f>+$AC$1</f>
        <v>Dubai, UAE</v>
      </c>
      <c r="B160" s="44">
        <f>$AE$5</f>
        <v>1.7680909891405028</v>
      </c>
      <c r="C160" s="13">
        <f t="shared" si="86"/>
        <v>2.1715089927651041</v>
      </c>
      <c r="D160" s="36">
        <f>$C$41/$C$43*$D$43</f>
        <v>1.6193996281259675</v>
      </c>
      <c r="E160" s="13">
        <f>E41</f>
        <v>1.9543580934885936</v>
      </c>
      <c r="F160">
        <v>0</v>
      </c>
      <c r="G160" s="44">
        <v>0</v>
      </c>
      <c r="H160" s="20">
        <v>1</v>
      </c>
    </row>
    <row r="161" spans="1:37">
      <c r="A161" t="str">
        <f>+$AC$161</f>
        <v>Dublin, Ireland</v>
      </c>
      <c r="B161" s="44">
        <f>$AE$165</f>
        <v>0.47154278589370763</v>
      </c>
      <c r="C161" s="13">
        <f t="shared" si="86"/>
        <v>0.57913275183844415</v>
      </c>
      <c r="D161" s="36">
        <f>$D$138+((C161-$C$138)/($C$117-$C$138)*($D$117-$D$138))</f>
        <v>0.65134542489046765</v>
      </c>
      <c r="E161" s="13">
        <f>E136</f>
        <v>0.65134542489046765</v>
      </c>
      <c r="F161">
        <v>0</v>
      </c>
      <c r="G161" s="44">
        <v>0</v>
      </c>
      <c r="H161" s="20">
        <v>1</v>
      </c>
      <c r="J161" s="7"/>
      <c r="K161" s="7" t="s">
        <v>127</v>
      </c>
      <c r="L161" s="7"/>
      <c r="M161" s="7"/>
      <c r="N161" s="7" t="s">
        <v>90</v>
      </c>
      <c r="O161" s="7"/>
      <c r="P161" s="7"/>
      <c r="Q161" s="7" t="s">
        <v>241</v>
      </c>
      <c r="R161" s="7"/>
      <c r="S161" s="7"/>
      <c r="T161" s="7" t="s">
        <v>242</v>
      </c>
      <c r="U161" s="7"/>
      <c r="V161" s="7"/>
      <c r="W161" s="7" t="s">
        <v>243</v>
      </c>
      <c r="X161" s="7"/>
      <c r="Y161" s="7"/>
      <c r="Z161" s="7" t="s">
        <v>244</v>
      </c>
      <c r="AA161" s="7"/>
      <c r="AB161" s="7"/>
      <c r="AC161" s="7" t="s">
        <v>245</v>
      </c>
      <c r="AD161" s="7"/>
      <c r="AE161" s="7"/>
      <c r="AF161" s="7" t="s">
        <v>131</v>
      </c>
      <c r="AG161" s="7"/>
      <c r="AH161" s="7"/>
      <c r="AI161" s="7" t="s">
        <v>246</v>
      </c>
      <c r="AJ161" s="7"/>
      <c r="AK161" s="7"/>
    </row>
    <row r="162" spans="1:37">
      <c r="A162" t="str">
        <f>+$W$201</f>
        <v>El Paso, TX</v>
      </c>
      <c r="B162" s="44">
        <f>$Y$205</f>
        <v>1.002534841204082</v>
      </c>
      <c r="C162" s="13">
        <f t="shared" si="86"/>
        <v>1.2312790668614177</v>
      </c>
      <c r="D162" s="36">
        <f>$D$86+((C162-$C$86)/($C$43-$C$86)*($D$43-$D$86))</f>
        <v>1.0284468694293234</v>
      </c>
      <c r="E162" s="13">
        <f>E64</f>
        <v>1.108151160175276</v>
      </c>
      <c r="F162">
        <v>9</v>
      </c>
      <c r="G162" s="44">
        <f>F162*$F$23/$F$26*$F$25</f>
        <v>2.9449999999999998</v>
      </c>
      <c r="H162" s="20">
        <f>2^(G162/$B$21)</f>
        <v>1.2264598449964383</v>
      </c>
      <c r="M162" s="28" t="s">
        <v>149</v>
      </c>
      <c r="P162" s="28" t="s">
        <v>149</v>
      </c>
      <c r="S162" s="28" t="s">
        <v>149</v>
      </c>
      <c r="V162" s="28" t="s">
        <v>149</v>
      </c>
      <c r="Y162" s="28" t="s">
        <v>149</v>
      </c>
      <c r="AB162" s="28" t="s">
        <v>149</v>
      </c>
      <c r="AE162" s="28" t="s">
        <v>149</v>
      </c>
      <c r="AH162" s="28" t="s">
        <v>149</v>
      </c>
      <c r="AK162" s="28" t="s">
        <v>149</v>
      </c>
    </row>
    <row r="163" spans="1:37">
      <c r="A163" t="str">
        <f>+$Z$121</f>
        <v>Flagstaff, AZ</v>
      </c>
      <c r="B163" s="44">
        <f>$AB$125</f>
        <v>0.50442711374603599</v>
      </c>
      <c r="C163" s="13">
        <f t="shared" si="86"/>
        <v>0.61952016068275928</v>
      </c>
      <c r="D163" s="36">
        <f>$D$138+((C163-$C$138)/($C$117-$C$138)*($D$117-$D$138))</f>
        <v>0.67676468245100097</v>
      </c>
      <c r="E163" s="13">
        <f>E130</f>
        <v>0.67676468245100097</v>
      </c>
      <c r="F163">
        <v>9</v>
      </c>
      <c r="G163" s="44">
        <f>F163*$F$23/$F$26*$F$25</f>
        <v>2.9449999999999998</v>
      </c>
      <c r="H163" s="20">
        <f>2^(G163/$B$21)</f>
        <v>1.2264598449964383</v>
      </c>
      <c r="J163" s="7" t="s">
        <v>260</v>
      </c>
      <c r="K163" t="s">
        <v>261</v>
      </c>
      <c r="L163" t="s">
        <v>54</v>
      </c>
      <c r="M163" s="28" t="s">
        <v>73</v>
      </c>
      <c r="N163" t="s">
        <v>261</v>
      </c>
      <c r="O163" t="s">
        <v>54</v>
      </c>
      <c r="P163" s="28" t="s">
        <v>73</v>
      </c>
      <c r="Q163" t="s">
        <v>261</v>
      </c>
      <c r="R163" t="s">
        <v>54</v>
      </c>
      <c r="S163" s="28" t="s">
        <v>73</v>
      </c>
      <c r="T163" t="s">
        <v>261</v>
      </c>
      <c r="U163" t="s">
        <v>54</v>
      </c>
      <c r="V163" s="28" t="s">
        <v>73</v>
      </c>
      <c r="W163" t="s">
        <v>261</v>
      </c>
      <c r="X163" t="s">
        <v>54</v>
      </c>
      <c r="Y163" s="28" t="s">
        <v>73</v>
      </c>
      <c r="Z163" t="s">
        <v>261</v>
      </c>
      <c r="AA163" t="s">
        <v>54</v>
      </c>
      <c r="AB163" s="28" t="s">
        <v>73</v>
      </c>
      <c r="AC163" t="s">
        <v>261</v>
      </c>
      <c r="AD163" t="s">
        <v>54</v>
      </c>
      <c r="AE163" s="28" t="s">
        <v>73</v>
      </c>
      <c r="AF163" t="s">
        <v>261</v>
      </c>
      <c r="AG163" t="s">
        <v>54</v>
      </c>
      <c r="AH163" s="28" t="s">
        <v>73</v>
      </c>
      <c r="AI163" t="s">
        <v>261</v>
      </c>
      <c r="AJ163" t="s">
        <v>54</v>
      </c>
      <c r="AK163" s="28" t="s">
        <v>73</v>
      </c>
    </row>
    <row r="164" spans="1:37">
      <c r="A164" t="str">
        <f>+$H$1</f>
        <v>Fort Lauderdale, FL</v>
      </c>
      <c r="B164" s="44">
        <f>$J$5</f>
        <v>1.3686478163549431</v>
      </c>
      <c r="C164" s="13">
        <f t="shared" si="86"/>
        <v>1.6809265243684282</v>
      </c>
      <c r="D164" s="36">
        <f t="shared" ref="D164:D169" si="98">$D$86+((C164-$C$86)/($C$43-$C$86)*($D$43-$D$86))</f>
        <v>1.2781703271006459</v>
      </c>
      <c r="E164" s="13">
        <f>E46</f>
        <v>1.5128338719315855</v>
      </c>
      <c r="F164">
        <v>6.5</v>
      </c>
      <c r="G164" s="44">
        <f>F164*$F$23/$F$26*$F$25</f>
        <v>2.1269444444444443</v>
      </c>
      <c r="H164" s="20">
        <f>2^(G164/$B$21)</f>
        <v>1.1588504872049772</v>
      </c>
    </row>
    <row r="165" spans="1:37">
      <c r="A165" t="str">
        <f>+$N$201</f>
        <v>Fresno, CA</v>
      </c>
      <c r="B165" s="44">
        <f>$P$205</f>
        <v>0.95450902183924891</v>
      </c>
      <c r="C165" s="13">
        <f t="shared" si="86"/>
        <v>1.1722953950503061</v>
      </c>
      <c r="D165" s="36">
        <f t="shared" si="98"/>
        <v>0.99568874698271392</v>
      </c>
      <c r="E165" s="13">
        <f>E67</f>
        <v>1.0550658555452754</v>
      </c>
      <c r="F165">
        <v>7.5</v>
      </c>
      <c r="G165" s="44">
        <f>F165*$F$23/$F$26*$F$25</f>
        <v>2.4541666666666666</v>
      </c>
      <c r="H165" s="20">
        <f>2^(G165/$B$21)</f>
        <v>1.1854350885855089</v>
      </c>
      <c r="J165" s="7" t="s">
        <v>262</v>
      </c>
      <c r="K165">
        <v>0</v>
      </c>
      <c r="L165" s="44">
        <f t="shared" ref="L165:L172" si="99">K165/$K$174*100</f>
        <v>0</v>
      </c>
      <c r="M165" s="13">
        <f>((L165*$A$25)+(L166*$A$26)+(L167*$A$27)+(L168*$A$28)+(L169*$A$29)+(L170*$A$30)+(L171*$A$31)+(L172*$A$32))/100</f>
        <v>0.50942383492469678</v>
      </c>
      <c r="N165">
        <v>0</v>
      </c>
      <c r="O165" s="44">
        <f t="shared" ref="O165:O172" si="100">N165/$N$174*100</f>
        <v>0</v>
      </c>
      <c r="P165" s="13">
        <f>((O165*$A$25)+(O166*$A$26)+(O167*$A$27)+(O168*$A$28)+(O169*$A$29)+(O170*$A$30)+(O171*$A$31)+(O172*$A$32))/100</f>
        <v>0.77364445632640921</v>
      </c>
      <c r="Q165">
        <v>0</v>
      </c>
      <c r="R165" s="44">
        <f t="shared" ref="R165:R172" si="101">Q165/$Q$174*100</f>
        <v>0</v>
      </c>
      <c r="S165" s="13">
        <f>((R165*$A$25)+(R166*$A$26)+(R167*$A$27)+(R168*$A$28)+(R169*$A$29)+(R170*$A$30)+(R171*$A$31)+(R172*$A$32))/100</f>
        <v>0.47751958257823518</v>
      </c>
      <c r="T165">
        <v>0</v>
      </c>
      <c r="U165" s="44">
        <f t="shared" ref="U165:U172" si="102">T165/$T$174*100</f>
        <v>0</v>
      </c>
      <c r="V165" s="13">
        <f>((U165*$A$25)+(U166*$A$26)+(U167*$A$27)+(U168*$A$28)+(U169*$A$29)+(U170*$A$30)+(U171*$A$31)+(U172*$A$32))/100</f>
        <v>0.65766132233627361</v>
      </c>
      <c r="W165">
        <v>0</v>
      </c>
      <c r="X165" s="44">
        <f t="shared" ref="X165:X172" si="103">W165/$W$174*100</f>
        <v>0</v>
      </c>
      <c r="Y165" s="13">
        <f>((X165*$A$25)+(X166*$A$26)+(X167*$A$27)+(X168*$A$28)+(X169*$A$29)+(X170*$A$30)+(X171*$A$31)+(X172*$A$32))/100</f>
        <v>0.82223332852273634</v>
      </c>
      <c r="Z165">
        <v>0</v>
      </c>
      <c r="AA165" s="44">
        <f t="shared" ref="AA165:AA172" si="104">Z165/$Z$174*100</f>
        <v>0</v>
      </c>
      <c r="AB165" s="13">
        <f>((AA165*$A$25)+(AA166*$A$26)+(AA167*$A$27)+(AA168*$A$28)+(AA169*$A$29)+(AA170*$A$30)+(AA171*$A$31)+(AA172*$A$32))/100</f>
        <v>0.49632901571151167</v>
      </c>
      <c r="AC165">
        <v>0</v>
      </c>
      <c r="AD165" s="44">
        <f t="shared" ref="AD165:AD172" si="105">AC165/$AC$174*100</f>
        <v>0</v>
      </c>
      <c r="AE165" s="13">
        <f>((AD165*$A$25)+(AD166*$A$26)+(AD167*$A$27)+(AD168*$A$28)+(AD169*$A$29)+(AD170*$A$30)+(AD171*$A$31)+(AD172*$A$32))/100</f>
        <v>0.47154278589370763</v>
      </c>
      <c r="AF165">
        <v>0</v>
      </c>
      <c r="AG165" s="44">
        <f t="shared" ref="AG165:AG172" si="106">AF165/$AF$174*100</f>
        <v>0</v>
      </c>
      <c r="AH165" s="13">
        <f>((AG165*$A$25)+(AG166*$A$26)+(AG167*$A$27)+(AG168*$A$28)+(AG169*$A$29)+(AG170*$A$30)+(AG171*$A$31)+(AG172*$A$32))/100</f>
        <v>0.81465800010816058</v>
      </c>
      <c r="AI165">
        <v>386</v>
      </c>
      <c r="AJ165" s="44">
        <f t="shared" ref="AJ165:AJ172" si="107">AI165/$AI$174*100</f>
        <v>0.39181055046337182</v>
      </c>
      <c r="AK165" s="13">
        <f>((AJ165*$A$25)+(AJ166*$A$26)+(AJ167*$A$27)+(AJ168*$A$28)+(AJ169*$A$29)+(AJ170*$A$30)+(AJ171*$A$31)+(AJ172*$A$32))/100</f>
        <v>0.88257694641296713</v>
      </c>
    </row>
    <row r="166" spans="1:37">
      <c r="A166" t="str">
        <f>+$AF$141</f>
        <v>Hilo, HI</v>
      </c>
      <c r="B166" s="44">
        <f>$AH$145</f>
        <v>1.1569158766194116</v>
      </c>
      <c r="C166" s="13">
        <f t="shared" si="86"/>
        <v>1.420884584210806</v>
      </c>
      <c r="D166" s="36">
        <f t="shared" si="98"/>
        <v>1.1337492448693336</v>
      </c>
      <c r="E166" s="13">
        <f>E54</f>
        <v>1.2787961257897253</v>
      </c>
      <c r="F166">
        <v>6</v>
      </c>
      <c r="G166" s="44">
        <f>F166*$F$23/$F$26*$F$25</f>
        <v>1.9633333333333334</v>
      </c>
      <c r="H166" s="20">
        <f>2^(G166/$B$21)</f>
        <v>1.1457825993918409</v>
      </c>
      <c r="J166" s="7" t="s">
        <v>263</v>
      </c>
      <c r="K166">
        <v>335</v>
      </c>
      <c r="L166" s="44">
        <f t="shared" si="99"/>
        <v>0.33350257344523088</v>
      </c>
      <c r="N166">
        <v>1908</v>
      </c>
      <c r="O166" s="44">
        <f t="shared" si="100"/>
        <v>1.9215275539800194</v>
      </c>
      <c r="Q166">
        <v>0</v>
      </c>
      <c r="R166" s="44">
        <f t="shared" si="101"/>
        <v>0</v>
      </c>
      <c r="T166">
        <v>394</v>
      </c>
      <c r="U166" s="44">
        <f t="shared" si="102"/>
        <v>0.39513007200593692</v>
      </c>
      <c r="W166">
        <v>3984</v>
      </c>
      <c r="X166" s="44">
        <f t="shared" si="103"/>
        <v>4.0003614784468473</v>
      </c>
      <c r="Z166">
        <v>0</v>
      </c>
      <c r="AA166" s="44">
        <f t="shared" si="104"/>
        <v>0</v>
      </c>
      <c r="AC166">
        <v>0</v>
      </c>
      <c r="AD166" s="44">
        <f t="shared" si="105"/>
        <v>0</v>
      </c>
      <c r="AF166">
        <v>4854</v>
      </c>
      <c r="AG166" s="44">
        <f t="shared" si="106"/>
        <v>4.8655800805918092</v>
      </c>
      <c r="AI166">
        <v>7890</v>
      </c>
      <c r="AJ166" s="44">
        <f t="shared" si="107"/>
        <v>8.0087700599896472</v>
      </c>
    </row>
    <row r="167" spans="1:37">
      <c r="A167" t="str">
        <f>+$AI$61</f>
        <v>Hong Kong Intl Airport</v>
      </c>
      <c r="B167" s="44">
        <f>$AK$65</f>
        <v>1.3616633902009809</v>
      </c>
      <c r="C167" s="13">
        <f t="shared" si="86"/>
        <v>1.6723484906044501</v>
      </c>
      <c r="D167" s="36">
        <f t="shared" si="98"/>
        <v>1.2734062920420723</v>
      </c>
      <c r="E167" s="13">
        <f>E47</f>
        <v>1.5051136415440052</v>
      </c>
      <c r="F167">
        <v>0</v>
      </c>
      <c r="G167" s="44">
        <v>0</v>
      </c>
      <c r="H167" s="20">
        <v>1</v>
      </c>
      <c r="J167" s="7" t="s">
        <v>264</v>
      </c>
      <c r="K167">
        <v>6100</v>
      </c>
      <c r="L167" s="44">
        <f t="shared" si="99"/>
        <v>6.0727334269131603</v>
      </c>
      <c r="N167">
        <v>9063</v>
      </c>
      <c r="O167" s="44">
        <f t="shared" si="100"/>
        <v>9.127255881405091</v>
      </c>
      <c r="Q167">
        <v>5340</v>
      </c>
      <c r="R167" s="44">
        <f t="shared" si="101"/>
        <v>5.2989858495246791</v>
      </c>
      <c r="T167">
        <v>3232</v>
      </c>
      <c r="U167" s="44">
        <f t="shared" si="102"/>
        <v>3.241270032292356</v>
      </c>
      <c r="W167">
        <v>17536</v>
      </c>
      <c r="X167" s="44">
        <f t="shared" si="103"/>
        <v>17.608016788665644</v>
      </c>
      <c r="Z167">
        <v>290</v>
      </c>
      <c r="AA167" s="44">
        <f t="shared" si="104"/>
        <v>0.28920468711044628</v>
      </c>
      <c r="AC167">
        <v>0</v>
      </c>
      <c r="AD167" s="44">
        <f t="shared" si="105"/>
        <v>0</v>
      </c>
      <c r="AF167">
        <v>15077</v>
      </c>
      <c r="AG167" s="44">
        <f t="shared" si="106"/>
        <v>15.112968865900845</v>
      </c>
      <c r="AI167">
        <v>17493</v>
      </c>
      <c r="AJ167" s="44">
        <f t="shared" si="107"/>
        <v>17.756326319315448</v>
      </c>
    </row>
    <row r="168" spans="1:37">
      <c r="A168" t="str">
        <f>+$T$21</f>
        <v>Honolulu, HI</v>
      </c>
      <c r="B168" s="44">
        <f>$V$25</f>
        <v>1.3619228368665275</v>
      </c>
      <c r="C168" s="13">
        <f t="shared" si="86"/>
        <v>1.6726671341419364</v>
      </c>
      <c r="D168" s="36">
        <f t="shared" si="98"/>
        <v>1.2735832590517089</v>
      </c>
      <c r="E168" s="13">
        <f>E48</f>
        <v>1.5054004207277427</v>
      </c>
      <c r="F168">
        <v>7.7</v>
      </c>
      <c r="G168" s="44">
        <f t="shared" ref="G168:G177" si="108">F168*$F$23/$F$26*$F$25</f>
        <v>2.5196111111111112</v>
      </c>
      <c r="H168" s="20">
        <f t="shared" ref="H168:H177" si="109">2^(G168/$B$21)</f>
        <v>1.1908247493894253</v>
      </c>
      <c r="J168" s="7" t="s">
        <v>265</v>
      </c>
      <c r="K168">
        <v>13960</v>
      </c>
      <c r="L168" s="44">
        <f t="shared" si="99"/>
        <v>13.897599777001265</v>
      </c>
      <c r="N168">
        <v>21465</v>
      </c>
      <c r="O168" s="44">
        <f t="shared" si="100"/>
        <v>21.617184982275216</v>
      </c>
      <c r="Q168">
        <v>9871</v>
      </c>
      <c r="R168" s="44">
        <f t="shared" si="101"/>
        <v>9.7951852660408445</v>
      </c>
      <c r="T168">
        <v>16339</v>
      </c>
      <c r="U168" s="44">
        <f t="shared" si="102"/>
        <v>16.385863569809654</v>
      </c>
      <c r="W168">
        <v>20986</v>
      </c>
      <c r="X168" s="44">
        <f t="shared" si="103"/>
        <v>21.072185237621873</v>
      </c>
      <c r="Z168">
        <v>4099</v>
      </c>
      <c r="AA168" s="44">
        <f t="shared" si="104"/>
        <v>4.0877586636748937</v>
      </c>
      <c r="AC168">
        <v>3245</v>
      </c>
      <c r="AD168" s="44">
        <f t="shared" si="105"/>
        <v>3.2369077306733169</v>
      </c>
      <c r="AF168">
        <v>21950</v>
      </c>
      <c r="AG168" s="44">
        <f t="shared" si="106"/>
        <v>22.002365630199876</v>
      </c>
      <c r="AI168">
        <v>17562</v>
      </c>
      <c r="AJ168" s="44">
        <f t="shared" si="107"/>
        <v>17.826364992843875</v>
      </c>
    </row>
    <row r="169" spans="1:37">
      <c r="A169" t="str">
        <f>+$AI$41</f>
        <v>Houston, TX</v>
      </c>
      <c r="B169" s="44">
        <f>$AK$45</f>
        <v>1.1952400473481235</v>
      </c>
      <c r="C169" s="13">
        <f t="shared" si="86"/>
        <v>1.4679530223674406</v>
      </c>
      <c r="D169" s="36">
        <f t="shared" si="98"/>
        <v>1.1598899311501636</v>
      </c>
      <c r="E169" s="13">
        <f>E51</f>
        <v>1.3211577201306968</v>
      </c>
      <c r="F169">
        <v>6.5</v>
      </c>
      <c r="G169" s="44">
        <f t="shared" si="108"/>
        <v>2.1269444444444443</v>
      </c>
      <c r="H169" s="20">
        <f t="shared" si="109"/>
        <v>1.1588504872049772</v>
      </c>
      <c r="J169" s="7" t="s">
        <v>266</v>
      </c>
      <c r="K169">
        <v>23107</v>
      </c>
      <c r="L169" s="44">
        <f t="shared" si="99"/>
        <v>23.003713327161044</v>
      </c>
      <c r="N169">
        <v>53717</v>
      </c>
      <c r="O169" s="44">
        <f t="shared" si="100"/>
        <v>54.097848855945863</v>
      </c>
      <c r="Q169">
        <v>22946</v>
      </c>
      <c r="R169" s="44">
        <f t="shared" si="101"/>
        <v>22.769762041796497</v>
      </c>
      <c r="T169">
        <v>60035</v>
      </c>
      <c r="U169" s="44">
        <f t="shared" si="102"/>
        <v>60.207192570752355</v>
      </c>
      <c r="W169">
        <v>26535</v>
      </c>
      <c r="X169" s="44">
        <f t="shared" si="103"/>
        <v>26.643973853059009</v>
      </c>
      <c r="Z169">
        <v>48528</v>
      </c>
      <c r="AA169" s="44">
        <f t="shared" si="104"/>
        <v>48.394913986537027</v>
      </c>
      <c r="AC169">
        <v>43427</v>
      </c>
      <c r="AD169" s="44">
        <f t="shared" si="105"/>
        <v>43.318703241895264</v>
      </c>
      <c r="AF169">
        <v>26580</v>
      </c>
      <c r="AG169" s="44">
        <f t="shared" si="106"/>
        <v>26.643411318939076</v>
      </c>
      <c r="AI169">
        <v>23314</v>
      </c>
      <c r="AJ169" s="44">
        <f t="shared" si="107"/>
        <v>23.664951226691841</v>
      </c>
    </row>
    <row r="170" spans="1:37">
      <c r="A170" t="str">
        <f>+$T$101</f>
        <v>Indianapolis, IN</v>
      </c>
      <c r="B170" s="44">
        <f>$V$105</f>
        <v>0.67200686373917806</v>
      </c>
      <c r="C170" s="13">
        <f t="shared" si="86"/>
        <v>0.82533588869138064</v>
      </c>
      <c r="D170" s="36">
        <f>$D$117+((C170-$C$117)/($C$86-$C$117)*($D$86-$D$117))</f>
        <v>0.80080405780423713</v>
      </c>
      <c r="E170" s="13">
        <f>E106</f>
        <v>0.80080405780423713</v>
      </c>
      <c r="F170">
        <v>5.5</v>
      </c>
      <c r="G170" s="44">
        <f t="shared" si="108"/>
        <v>1.7997222222222222</v>
      </c>
      <c r="H170" s="20">
        <f t="shared" si="109"/>
        <v>1.1328620728593721</v>
      </c>
      <c r="J170" s="7" t="s">
        <v>267</v>
      </c>
      <c r="K170">
        <v>27259</v>
      </c>
      <c r="L170" s="44">
        <f t="shared" si="99"/>
        <v>27.137154177741941</v>
      </c>
      <c r="N170">
        <v>13143</v>
      </c>
      <c r="O170" s="44">
        <f t="shared" si="100"/>
        <v>13.236182726393814</v>
      </c>
      <c r="Q170">
        <v>36570</v>
      </c>
      <c r="R170" s="44">
        <f t="shared" si="101"/>
        <v>36.289122194216759</v>
      </c>
      <c r="T170">
        <v>19714</v>
      </c>
      <c r="U170" s="44">
        <f t="shared" si="102"/>
        <v>19.770543755139698</v>
      </c>
      <c r="W170">
        <v>25905</v>
      </c>
      <c r="X170" s="44">
        <f t="shared" si="103"/>
        <v>26.0113865710757</v>
      </c>
      <c r="Z170">
        <v>45825</v>
      </c>
      <c r="AA170" s="44">
        <f t="shared" si="104"/>
        <v>45.699326851159313</v>
      </c>
      <c r="AC170">
        <v>51416</v>
      </c>
      <c r="AD170" s="44">
        <f t="shared" si="105"/>
        <v>51.287780548628426</v>
      </c>
      <c r="AF170">
        <v>24796</v>
      </c>
      <c r="AG170" s="44">
        <f t="shared" si="106"/>
        <v>24.855155269541509</v>
      </c>
      <c r="AI170">
        <v>23363</v>
      </c>
      <c r="AJ170" s="44">
        <f t="shared" si="107"/>
        <v>23.714688835429417</v>
      </c>
    </row>
    <row r="171" spans="1:37">
      <c r="A171" t="str">
        <f>+$Q$141</f>
        <v>Jackson, Mississippi</v>
      </c>
      <c r="B171" s="44">
        <f>$S$145</f>
        <v>0.95708794292533228</v>
      </c>
      <c r="C171" s="13">
        <f t="shared" si="86"/>
        <v>1.1754627378875566</v>
      </c>
      <c r="D171" s="36">
        <f>$D$86+((C171-$C$86)/($C$43-$C$86)*($D$43-$D$86))</f>
        <v>0.99744781353973178</v>
      </c>
      <c r="E171" s="13">
        <f>E66</f>
        <v>1.057916464098801</v>
      </c>
      <c r="F171">
        <v>6.5</v>
      </c>
      <c r="G171" s="44">
        <f t="shared" si="108"/>
        <v>2.1269444444444443</v>
      </c>
      <c r="H171" s="20">
        <f t="shared" si="109"/>
        <v>1.1588504872049772</v>
      </c>
      <c r="J171" s="7" t="s">
        <v>268</v>
      </c>
      <c r="K171">
        <v>19241</v>
      </c>
      <c r="L171" s="44">
        <f t="shared" si="99"/>
        <v>19.154994076596083</v>
      </c>
      <c r="N171">
        <v>0</v>
      </c>
      <c r="O171" s="44">
        <f t="shared" si="100"/>
        <v>0</v>
      </c>
      <c r="Q171">
        <v>24652</v>
      </c>
      <c r="R171" s="44">
        <f t="shared" si="101"/>
        <v>24.462659019191456</v>
      </c>
      <c r="T171">
        <v>0</v>
      </c>
      <c r="U171" s="44">
        <f t="shared" si="102"/>
        <v>0</v>
      </c>
      <c r="W171">
        <v>4645</v>
      </c>
      <c r="X171" s="44">
        <f t="shared" si="103"/>
        <v>4.6640760711309257</v>
      </c>
      <c r="Z171">
        <v>1533</v>
      </c>
      <c r="AA171" s="44">
        <f t="shared" si="104"/>
        <v>1.5287958115183247</v>
      </c>
      <c r="AC171">
        <v>2162</v>
      </c>
      <c r="AD171" s="44">
        <f t="shared" si="105"/>
        <v>2.1566084788029927</v>
      </c>
      <c r="AF171">
        <v>6366</v>
      </c>
      <c r="AG171" s="44">
        <f t="shared" si="106"/>
        <v>6.3811872255969213</v>
      </c>
      <c r="AI171">
        <v>7785</v>
      </c>
      <c r="AJ171" s="44">
        <f t="shared" si="107"/>
        <v>7.9021894698376931</v>
      </c>
    </row>
    <row r="172" spans="1:37">
      <c r="A172" t="str">
        <f>+$Z$141</f>
        <v>Jacksonville, FL</v>
      </c>
      <c r="B172" s="44">
        <f>$AB$145</f>
        <v>1.1092392768961767</v>
      </c>
      <c r="C172" s="13">
        <f t="shared" si="86"/>
        <v>1.362329812041646</v>
      </c>
      <c r="D172" s="36">
        <f>$D$86+((C172-$C$86)/($C$43-$C$86)*($D$43-$D$86))</f>
        <v>1.1012293230392158</v>
      </c>
      <c r="E172" s="13">
        <f>B172*0.9/$B$86</f>
        <v>1.2260968308374813</v>
      </c>
      <c r="F172">
        <v>6.5</v>
      </c>
      <c r="G172" s="44">
        <f t="shared" si="108"/>
        <v>2.1269444444444443</v>
      </c>
      <c r="H172" s="20">
        <f t="shared" si="109"/>
        <v>1.1588504872049772</v>
      </c>
      <c r="J172" s="7" t="s">
        <v>269</v>
      </c>
      <c r="K172">
        <v>10447</v>
      </c>
      <c r="L172" s="44">
        <f t="shared" si="99"/>
        <v>10.400302641141277</v>
      </c>
      <c r="N172">
        <v>0</v>
      </c>
      <c r="O172" s="44">
        <f t="shared" si="100"/>
        <v>0</v>
      </c>
      <c r="Q172">
        <v>1395</v>
      </c>
      <c r="R172" s="44">
        <f t="shared" si="101"/>
        <v>1.3842856292297618</v>
      </c>
      <c r="T172">
        <v>0</v>
      </c>
      <c r="U172" s="44">
        <f t="shared" si="102"/>
        <v>0</v>
      </c>
      <c r="W172">
        <v>0</v>
      </c>
      <c r="X172" s="44">
        <f t="shared" si="103"/>
        <v>0</v>
      </c>
      <c r="Z172">
        <v>0</v>
      </c>
      <c r="AA172" s="44">
        <f t="shared" si="104"/>
        <v>0</v>
      </c>
      <c r="AC172">
        <v>0</v>
      </c>
      <c r="AD172" s="44">
        <f t="shared" si="105"/>
        <v>0</v>
      </c>
      <c r="AF172">
        <v>139</v>
      </c>
      <c r="AG172" s="44">
        <f t="shared" si="106"/>
        <v>0.13933160922996732</v>
      </c>
      <c r="AI172">
        <v>724</v>
      </c>
      <c r="AJ172" s="44">
        <f t="shared" si="107"/>
        <v>0.73489854542870769</v>
      </c>
    </row>
    <row r="173" spans="1:37">
      <c r="A173" t="str">
        <f>+$Z$81</f>
        <v>Juneau, Alaska</v>
      </c>
      <c r="B173" s="44">
        <f>$AB$85</f>
        <v>0.38183215285390815</v>
      </c>
      <c r="C173" s="13">
        <f t="shared" si="86"/>
        <v>0.46895321493165082</v>
      </c>
      <c r="D173" s="36">
        <v>0.58199999999999996</v>
      </c>
      <c r="E173" s="13">
        <f>E138</f>
        <v>0.58199999999999996</v>
      </c>
      <c r="F173">
        <v>4.5</v>
      </c>
      <c r="G173" s="44">
        <f t="shared" si="108"/>
        <v>1.4724999999999999</v>
      </c>
      <c r="H173" s="20">
        <f t="shared" si="109"/>
        <v>1.1074564754411067</v>
      </c>
    </row>
    <row r="174" spans="1:37">
      <c r="A174" t="str">
        <f>+$Z$61</f>
        <v>Kansas City, MO</v>
      </c>
      <c r="B174" s="44">
        <f>$AB$65</f>
        <v>0.78703925079126302</v>
      </c>
      <c r="C174" s="13">
        <f t="shared" si="86"/>
        <v>0.96661473942760168</v>
      </c>
      <c r="D174" s="36">
        <f>$D$117+((C174-$C$117)/($C$86-$C$117)*($D$86-$D$117))</f>
        <v>0.88103970899849826</v>
      </c>
      <c r="E174" s="13">
        <f>E90</f>
        <v>0.88103970899849826</v>
      </c>
      <c r="F174">
        <v>6.5</v>
      </c>
      <c r="G174" s="44">
        <f t="shared" si="108"/>
        <v>2.1269444444444443</v>
      </c>
      <c r="H174" s="20">
        <f t="shared" si="109"/>
        <v>1.1588504872049772</v>
      </c>
      <c r="K174">
        <f>SUM(K165:K172)</f>
        <v>100449</v>
      </c>
      <c r="L174">
        <f>SUM(L165:L172)</f>
        <v>100.00000000000001</v>
      </c>
      <c r="N174">
        <f>SUM(N165:N172)</f>
        <v>99296</v>
      </c>
      <c r="O174">
        <f>SUM(O165:O172)</f>
        <v>100</v>
      </c>
      <c r="Q174">
        <f>SUM(Q165:Q172)</f>
        <v>100774</v>
      </c>
      <c r="R174">
        <f>SUM(R165:R172)</f>
        <v>100</v>
      </c>
      <c r="T174">
        <f>SUM(T165:T172)</f>
        <v>99714</v>
      </c>
      <c r="U174">
        <f>SUM(U165:U172)</f>
        <v>100</v>
      </c>
      <c r="W174">
        <f>SUM(W165:W172)</f>
        <v>99591</v>
      </c>
      <c r="X174">
        <f>SUM(X165:X172)</f>
        <v>100</v>
      </c>
      <c r="Z174">
        <f>SUM(Z165:Z172)</f>
        <v>100275</v>
      </c>
      <c r="AA174">
        <f>SUM(AA165:AA172)</f>
        <v>100</v>
      </c>
      <c r="AC174">
        <f>SUM(AC165:AC172)</f>
        <v>100250</v>
      </c>
      <c r="AD174">
        <f>SUM(AD165:AD172)</f>
        <v>100</v>
      </c>
      <c r="AF174">
        <f>SUM(AF165:AF172)</f>
        <v>99762</v>
      </c>
      <c r="AG174">
        <f>SUM(AG165:AG172)</f>
        <v>100</v>
      </c>
      <c r="AI174">
        <f>SUM(AI165:AI172)</f>
        <v>98517</v>
      </c>
      <c r="AJ174">
        <f>SUM(AJ165:AJ172)</f>
        <v>100</v>
      </c>
    </row>
    <row r="175" spans="1:37">
      <c r="A175" t="str">
        <f>$T$121</f>
        <v>Knoxville, TN</v>
      </c>
      <c r="B175" s="44">
        <f>$V$125</f>
        <v>0.78610980804250763</v>
      </c>
      <c r="C175" s="13">
        <f t="shared" si="86"/>
        <v>0.96547322957342629</v>
      </c>
      <c r="D175" s="36">
        <f>$D$117+((C175-$C$117)/($C$86-$C$117)*($D$86-$D$117))</f>
        <v>0.88039141814663235</v>
      </c>
      <c r="E175" s="13">
        <f>E92</f>
        <v>0.88039141814663235</v>
      </c>
      <c r="F175">
        <v>6.5</v>
      </c>
      <c r="G175" s="44">
        <f t="shared" si="108"/>
        <v>2.1269444444444443</v>
      </c>
      <c r="H175" s="20">
        <f t="shared" si="109"/>
        <v>1.1588504872049772</v>
      </c>
    </row>
    <row r="176" spans="1:37">
      <c r="A176" t="str">
        <f>+$K$101</f>
        <v>Las Vegas, NV</v>
      </c>
      <c r="B176" s="44">
        <f>$M$105</f>
        <v>1.2231165768526531</v>
      </c>
      <c r="C176" s="13">
        <f t="shared" si="86"/>
        <v>1.5021900242400616</v>
      </c>
      <c r="D176" s="36">
        <f>$D$86+((C176-$C$86)/($C$43-$C$86)*($D$43-$D$86))</f>
        <v>1.1789043442090812</v>
      </c>
      <c r="E176" s="13">
        <f>E49</f>
        <v>1.3519710218160557</v>
      </c>
      <c r="F176">
        <v>9</v>
      </c>
      <c r="G176" s="44">
        <f t="shared" si="108"/>
        <v>2.9449999999999998</v>
      </c>
      <c r="H176" s="20">
        <f t="shared" si="109"/>
        <v>1.2264598449964383</v>
      </c>
      <c r="J176" s="7" t="s">
        <v>270</v>
      </c>
      <c r="K176">
        <v>99301</v>
      </c>
      <c r="N176">
        <v>99301</v>
      </c>
      <c r="Q176">
        <v>99301</v>
      </c>
      <c r="T176">
        <v>99301</v>
      </c>
      <c r="W176">
        <v>99301</v>
      </c>
      <c r="Z176">
        <v>99301</v>
      </c>
      <c r="AC176">
        <v>99301</v>
      </c>
      <c r="AF176">
        <v>99301</v>
      </c>
      <c r="AI176">
        <v>99301</v>
      </c>
    </row>
    <row r="177" spans="1:37">
      <c r="A177" t="str">
        <f>+$AC$81</f>
        <v>LAX</v>
      </c>
      <c r="B177" s="44">
        <f>$AE$85</f>
        <v>0.7497954347760204</v>
      </c>
      <c r="C177" s="13">
        <f t="shared" ref="C177:C208" si="110">B177/$F$32</f>
        <v>0.92087315604828524</v>
      </c>
      <c r="D177" s="36">
        <f>$D$117+((C177-$C$117)/($C$86-$C$117)*($D$86-$D$117))</f>
        <v>0.85506196562098158</v>
      </c>
      <c r="E177" s="13">
        <f>E97</f>
        <v>0.85506196562098158</v>
      </c>
      <c r="F177">
        <v>7.5</v>
      </c>
      <c r="G177" s="44">
        <f t="shared" si="108"/>
        <v>2.4541666666666666</v>
      </c>
      <c r="H177" s="20">
        <f t="shared" si="109"/>
        <v>1.1854350885855089</v>
      </c>
    </row>
    <row r="178" spans="1:37">
      <c r="A178" t="str">
        <f>+$N$161</f>
        <v>Lisbon, Portugal</v>
      </c>
      <c r="B178" s="44">
        <f>$P$165</f>
        <v>0.77364445632640921</v>
      </c>
      <c r="C178" s="13">
        <f t="shared" si="110"/>
        <v>0.95016371014499112</v>
      </c>
      <c r="D178" s="36">
        <f>$D$117+((C178-$C$117)/($C$86-$C$117)*($D$86-$D$117))</f>
        <v>0.87169677450810823</v>
      </c>
      <c r="E178" s="13">
        <f>E94</f>
        <v>0.87169677450810823</v>
      </c>
      <c r="F178">
        <v>0</v>
      </c>
      <c r="G178" s="44">
        <v>0</v>
      </c>
      <c r="H178" s="20">
        <v>1</v>
      </c>
      <c r="J178" s="7" t="s">
        <v>271</v>
      </c>
      <c r="K178" s="50">
        <f>((K174/K176)-1)</f>
        <v>1.1560810062335669E-2</v>
      </c>
      <c r="N178" s="50">
        <f>((N174/N176)-1)</f>
        <v>-5.0351960201755475E-5</v>
      </c>
      <c r="Q178" s="50">
        <f>((Q174/Q176)-1)</f>
        <v>1.4833687475453328E-2</v>
      </c>
      <c r="T178" s="50">
        <f>((T174/T176)-1)</f>
        <v>4.1590719126696207E-3</v>
      </c>
      <c r="W178" s="50">
        <f>((W174/W176)-1)</f>
        <v>2.9204136917049262E-3</v>
      </c>
      <c r="Z178" s="50">
        <f>((Z174/Z176)-1)</f>
        <v>9.8085618473127134E-3</v>
      </c>
      <c r="AC178" s="50">
        <f>((AC174/AC176)-1)</f>
        <v>9.556802046303714E-3</v>
      </c>
      <c r="AF178" s="50">
        <f>((AF174/AF176)-1)</f>
        <v>4.642450730606873E-3</v>
      </c>
      <c r="AI178" s="50">
        <f>((AI174/AI176)-1)</f>
        <v>-7.895187359643896E-3</v>
      </c>
    </row>
    <row r="179" spans="1:37">
      <c r="A179" t="str">
        <f>+$AI$121</f>
        <v>Little Rock, Arkansas</v>
      </c>
      <c r="B179" s="44">
        <f>$AK$125</f>
        <v>0.90855082681361887</v>
      </c>
      <c r="C179" s="13">
        <f t="shared" si="110"/>
        <v>1.1158511088668659</v>
      </c>
      <c r="D179" s="36">
        <f>$D$86+((C179-$C$86)/($C$43-$C$86)*($D$43-$D$86))</f>
        <v>0.96434093865823656</v>
      </c>
      <c r="E179" s="13">
        <f>E70</f>
        <v>1.0042659979801793</v>
      </c>
      <c r="F179">
        <v>6.5</v>
      </c>
      <c r="G179" s="44">
        <f>F179*$F$23/$F$26*$F$25</f>
        <v>2.1269444444444443</v>
      </c>
      <c r="H179" s="20">
        <f>2^(G179/$B$21)</f>
        <v>1.1588504872049772</v>
      </c>
    </row>
    <row r="180" spans="1:37">
      <c r="A180" t="str">
        <f>+$N$81</f>
        <v>London, England</v>
      </c>
      <c r="B180" s="44">
        <f>$P$85</f>
        <v>0.5561878267359045</v>
      </c>
      <c r="C180" s="13">
        <f t="shared" si="110"/>
        <v>0.68309090134021377</v>
      </c>
      <c r="D180" s="36">
        <f>$D$138+((C180-$C$138)/($C$117-$C$138)*($D$117-$D$138))</f>
        <v>0.71677519751807883</v>
      </c>
      <c r="E180" s="13">
        <f>E125</f>
        <v>0.71677519751807883</v>
      </c>
      <c r="F180">
        <v>0</v>
      </c>
      <c r="G180" s="44">
        <v>0</v>
      </c>
      <c r="H180" s="20">
        <v>1</v>
      </c>
    </row>
    <row r="181" spans="1:37">
      <c r="A181" t="str">
        <f>+$AC$21</f>
        <v>Los Angeles Civic Center</v>
      </c>
      <c r="B181" s="44">
        <f>$AE$25</f>
        <v>0.81422227355784216</v>
      </c>
      <c r="C181" s="13">
        <f t="shared" si="110"/>
        <v>1</v>
      </c>
      <c r="D181" s="36">
        <v>0.9</v>
      </c>
      <c r="E181" s="13">
        <f>E86</f>
        <v>0.9</v>
      </c>
      <c r="F181">
        <v>7.5</v>
      </c>
      <c r="G181" s="44">
        <f>F181*$F$23/$F$26*$F$25</f>
        <v>2.4541666666666666</v>
      </c>
      <c r="H181" s="20">
        <f>2^(G181/$B$21)</f>
        <v>1.1854350885855089</v>
      </c>
      <c r="J181" s="7"/>
      <c r="K181" s="7" t="s">
        <v>247</v>
      </c>
      <c r="L181" s="7"/>
      <c r="M181" s="7"/>
      <c r="N181" s="7" t="s">
        <v>248</v>
      </c>
      <c r="O181" s="7"/>
      <c r="P181" s="7"/>
      <c r="Q181" s="7" t="s">
        <v>249</v>
      </c>
      <c r="R181" s="7"/>
      <c r="S181" s="7"/>
      <c r="T181" s="7" t="s">
        <v>250</v>
      </c>
      <c r="U181" s="7"/>
      <c r="V181" s="7"/>
      <c r="W181" s="7" t="s">
        <v>251</v>
      </c>
      <c r="X181" s="7"/>
      <c r="Y181" s="7"/>
      <c r="Z181" s="7" t="s">
        <v>252</v>
      </c>
      <c r="AA181" s="7"/>
      <c r="AB181" s="7"/>
      <c r="AC181" s="7" t="s">
        <v>253</v>
      </c>
      <c r="AD181" s="7"/>
      <c r="AE181" s="7"/>
      <c r="AF181" s="7" t="s">
        <v>254</v>
      </c>
      <c r="AG181" s="7"/>
      <c r="AH181" s="7"/>
      <c r="AI181" s="7" t="s">
        <v>255</v>
      </c>
      <c r="AJ181" s="7"/>
      <c r="AK181" s="7"/>
    </row>
    <row r="182" spans="1:37">
      <c r="A182" t="str">
        <f>+$T$141</f>
        <v>Madison, WI</v>
      </c>
      <c r="B182" s="44">
        <f>$V$145</f>
        <v>0.55707471095431305</v>
      </c>
      <c r="C182" s="13">
        <f t="shared" si="110"/>
        <v>0.68418014226030455</v>
      </c>
      <c r="D182" s="36">
        <f>$D$138+((C182-$C$138)/($C$117-$C$138)*($D$117-$D$138))</f>
        <v>0.71746075017633404</v>
      </c>
      <c r="E182" s="13">
        <f>E124</f>
        <v>0.71746075017633404</v>
      </c>
      <c r="F182">
        <v>5.5</v>
      </c>
      <c r="G182" s="44">
        <f>F182*$F$23/$F$26*$F$25</f>
        <v>1.7997222222222222</v>
      </c>
      <c r="H182" s="20">
        <f>2^(G182/$B$21)</f>
        <v>1.1328620728593721</v>
      </c>
      <c r="M182" s="28" t="s">
        <v>149</v>
      </c>
      <c r="P182" s="28" t="s">
        <v>149</v>
      </c>
      <c r="S182" s="28" t="s">
        <v>149</v>
      </c>
      <c r="V182" s="28" t="s">
        <v>149</v>
      </c>
      <c r="Y182" s="28" t="s">
        <v>149</v>
      </c>
      <c r="AB182" s="28" t="s">
        <v>149</v>
      </c>
      <c r="AE182" s="28" t="s">
        <v>149</v>
      </c>
      <c r="AH182" s="28" t="s">
        <v>149</v>
      </c>
      <c r="AK182" t="s">
        <v>149</v>
      </c>
    </row>
    <row r="183" spans="1:37">
      <c r="A183" t="str">
        <f>+$Q$81</f>
        <v>Madrid, Spain</v>
      </c>
      <c r="B183" s="44">
        <f>$S$85</f>
        <v>0.74580545569607881</v>
      </c>
      <c r="C183" s="13">
        <f t="shared" si="110"/>
        <v>0.91597279995447944</v>
      </c>
      <c r="D183" s="36">
        <f>$D$117+((C183-$C$117)/($C$86-$C$117)*($D$86-$D$117))</f>
        <v>0.85227893574622426</v>
      </c>
      <c r="E183" s="13">
        <f>E98</f>
        <v>0.85227893574622426</v>
      </c>
      <c r="F183">
        <v>0</v>
      </c>
      <c r="G183" s="44">
        <v>0</v>
      </c>
      <c r="H183" s="20">
        <v>1</v>
      </c>
      <c r="J183" s="7" t="s">
        <v>260</v>
      </c>
      <c r="K183" t="s">
        <v>261</v>
      </c>
      <c r="L183" t="s">
        <v>54</v>
      </c>
      <c r="M183" s="28" t="s">
        <v>73</v>
      </c>
      <c r="N183" t="s">
        <v>261</v>
      </c>
      <c r="O183" t="s">
        <v>54</v>
      </c>
      <c r="P183" s="28" t="s">
        <v>73</v>
      </c>
      <c r="Q183" t="s">
        <v>261</v>
      </c>
      <c r="R183" t="s">
        <v>54</v>
      </c>
      <c r="S183" s="28" t="s">
        <v>73</v>
      </c>
      <c r="T183" t="s">
        <v>261</v>
      </c>
      <c r="U183" t="s">
        <v>54</v>
      </c>
      <c r="V183" s="28" t="s">
        <v>73</v>
      </c>
      <c r="W183" t="s">
        <v>261</v>
      </c>
      <c r="X183" t="s">
        <v>54</v>
      </c>
      <c r="Y183" s="28" t="s">
        <v>73</v>
      </c>
      <c r="Z183" t="s">
        <v>261</v>
      </c>
      <c r="AA183" t="s">
        <v>54</v>
      </c>
      <c r="AB183" s="28" t="s">
        <v>73</v>
      </c>
      <c r="AC183" t="s">
        <v>261</v>
      </c>
      <c r="AD183" t="s">
        <v>54</v>
      </c>
      <c r="AE183" s="28" t="s">
        <v>73</v>
      </c>
      <c r="AF183" t="s">
        <v>261</v>
      </c>
      <c r="AG183" t="s">
        <v>54</v>
      </c>
      <c r="AH183" s="28" t="s">
        <v>73</v>
      </c>
      <c r="AI183" t="s">
        <v>261</v>
      </c>
      <c r="AJ183" t="s">
        <v>54</v>
      </c>
      <c r="AK183" t="s">
        <v>73</v>
      </c>
    </row>
    <row r="184" spans="1:37">
      <c r="A184" t="str">
        <f>+$K$81</f>
        <v>Melbourne, Australia</v>
      </c>
      <c r="B184" s="44">
        <f>$M$85</f>
        <v>0.65383817380850684</v>
      </c>
      <c r="C184" s="13">
        <f t="shared" si="110"/>
        <v>0.80302172397161564</v>
      </c>
      <c r="D184" s="36">
        <f>$D$117+((C184-$C$117)/($C$86-$C$117)*($D$86-$D$117))</f>
        <v>0.78813130793533315</v>
      </c>
      <c r="E184" s="13">
        <f>E110</f>
        <v>0.78813130793533315</v>
      </c>
      <c r="F184">
        <v>0</v>
      </c>
      <c r="G184" s="44">
        <v>0</v>
      </c>
      <c r="H184" s="20">
        <v>1</v>
      </c>
    </row>
    <row r="185" spans="1:37">
      <c r="A185" t="str">
        <f>+$Q$21</f>
        <v>Memphis, TN</v>
      </c>
      <c r="B185" s="44">
        <f>$S$25</f>
        <v>0.94135819096055984</v>
      </c>
      <c r="C185" s="13">
        <f t="shared" si="110"/>
        <v>1.1561439935156552</v>
      </c>
      <c r="D185" s="36">
        <f>$D$86+((C185-$C$86)/($C$43-$C$86)*($D$43-$D$86))</f>
        <v>0.98671864436091039</v>
      </c>
      <c r="E185" s="13">
        <f>E68</f>
        <v>1.0405295941640897</v>
      </c>
      <c r="F185">
        <v>6.5</v>
      </c>
      <c r="G185" s="44">
        <f>F185*$F$23/$F$26*$F$25</f>
        <v>2.1269444444444443</v>
      </c>
      <c r="H185" s="20">
        <f>2^(G185/$B$21)</f>
        <v>1.1588504872049772</v>
      </c>
      <c r="J185" s="7" t="s">
        <v>262</v>
      </c>
      <c r="K185">
        <v>9168</v>
      </c>
      <c r="L185" s="44">
        <f t="shared" ref="L185:L192" si="111">K185/$K$194*100</f>
        <v>9.385461134486043</v>
      </c>
      <c r="M185" s="13">
        <f>((L185*$A$25)+(L186*$A$26)+(L187*$A$27)+(L188*$A$28)+(L189*$A$29)+(L190*$A$30)+(L191*$A$31)+(L192*$A$32))/100</f>
        <v>1.4488138770125536</v>
      </c>
      <c r="N185">
        <v>559</v>
      </c>
      <c r="O185" s="44">
        <f t="shared" ref="O185:O192" si="112">N185/$N$194*100</f>
        <v>0.5646407612044323</v>
      </c>
      <c r="P185" s="13">
        <f>((O185*$A$25)+(O186*$A$26)+(O187*$A$27)+(O188*$A$28)+(O189*$A$29)+(O190*$A$30)+(O191*$A$31)+(O192*$A$32))/100</f>
        <v>1.0185489335119595</v>
      </c>
      <c r="Q185">
        <v>174</v>
      </c>
      <c r="R185" s="44">
        <f t="shared" ref="R185:R192" si="113">Q185/$Q$194*100</f>
        <v>0.17564934737182139</v>
      </c>
      <c r="S185" s="13">
        <f>((R185*$A$25)+(R186*$A$26)+(R187*$A$27)+(R188*$A$28)+(R189*$A$29)+(R190*$A$30)+(R191*$A$31)+(R192*$A$32))/100</f>
        <v>0.8874808303945726</v>
      </c>
      <c r="T185">
        <v>66</v>
      </c>
      <c r="U185" s="44">
        <f t="shared" ref="U185:U192" si="114">T185/$T$194*100</f>
        <v>6.6817174038490745E-2</v>
      </c>
      <c r="V185" s="13">
        <f>((U185*$A$25)+(U186*$A$26)+(U187*$A$27)+(U188*$A$28)+(U189*$A$29)+(U190*$A$30)+(U191*$A$31)+(U192*$A$32))/100</f>
        <v>0.86982941334794583</v>
      </c>
      <c r="W185">
        <v>0</v>
      </c>
      <c r="X185" s="44">
        <f t="shared" ref="X185:X192" si="115">W185/$W$194*100</f>
        <v>0</v>
      </c>
      <c r="Y185" s="13">
        <f>((X185*$A$25)+(X186*$A$26)+(X187*$A$27)+(X188*$A$28)+(X189*$A$29)+(X190*$A$30)+(X191*$A$31)+(X192*$A$32))/100</f>
        <v>0.79263111774295036</v>
      </c>
      <c r="Z185">
        <v>854</v>
      </c>
      <c r="AA185" s="44">
        <f t="shared" ref="AA185:AA192" si="116">Z185/$Z$194*100</f>
        <v>0.86420627612098888</v>
      </c>
      <c r="AB185" s="13">
        <f>((AA185*$A$25)+(AA186*$A$26)+(AA187*$A$27)+(AA188*$A$28)+(AA189*$A$29)+(AA190*$A$30)+(AA191*$A$31)+(AA192*$A$32))/100</f>
        <v>0.96466532292374152</v>
      </c>
      <c r="AC185">
        <v>0</v>
      </c>
      <c r="AD185" s="44">
        <f t="shared" ref="AD185:AD192" si="117">AC185/$AC$194*100</f>
        <v>0</v>
      </c>
      <c r="AE185" s="13">
        <f>((AD185*$A$25)+(AD186*$A$26)+(AD187*$A$27)+(AD188*$A$28)+(AD189*$A$29)+(AD190*$A$30)+(AD191*$A$31)+(AD192*$A$32))/100</f>
        <v>0.69403735851040071</v>
      </c>
      <c r="AF185">
        <v>220</v>
      </c>
      <c r="AG185" s="44">
        <f t="shared" ref="AG185:AG192" si="118">AF185/$AF$194*100</f>
        <v>0.22214368657545314</v>
      </c>
      <c r="AH185" s="13">
        <f>((AG185*$A$25)+(AG186*$A$26)+(AG187*$A$27)+(AG188*$A$28)+(AG189*$A$29)+(AG190*$A$30)+(AG191*$A$31)+(AG192*$A$32))/100</f>
        <v>1.0145555738581931</v>
      </c>
      <c r="AI185">
        <v>2412</v>
      </c>
      <c r="AJ185" s="44">
        <f t="shared" ref="AJ185:AJ192" si="119">AI185/$AI$194*100</f>
        <v>2.4424079793428182</v>
      </c>
      <c r="AK185" s="13">
        <f>((AJ185*$A$25)+(AJ186*$A$26)+(AJ187*$A$27)+(AJ188*$A$28)+(AJ189*$A$29)+(AJ190*$A$30)+(AJ191*$A$31)+(AJ192*$A$32))/100</f>
        <v>1.0724912728957461</v>
      </c>
    </row>
    <row r="186" spans="1:37">
      <c r="A186" t="str">
        <f>+$K$181</f>
        <v>Mesa, AZ</v>
      </c>
      <c r="B186" s="44">
        <f>$M$185</f>
        <v>1.4488138770125536</v>
      </c>
      <c r="C186" s="13">
        <f t="shared" si="110"/>
        <v>1.7793837433134654</v>
      </c>
      <c r="D186" s="36">
        <f>$D$86+((C186-$C$86)/($C$43-$C$86)*($D$43-$D$86))</f>
        <v>1.3328511147647768</v>
      </c>
      <c r="E186" s="13">
        <f>E44</f>
        <v>1.6014453689821189</v>
      </c>
      <c r="F186">
        <v>9</v>
      </c>
      <c r="G186" s="44">
        <f>F186*$F$23/$F$26*$F$25</f>
        <v>2.9449999999999998</v>
      </c>
      <c r="H186" s="20">
        <f>2^(G186/$B$21)</f>
        <v>1.2264598449964383</v>
      </c>
      <c r="J186" s="7" t="s">
        <v>263</v>
      </c>
      <c r="K186">
        <v>19244</v>
      </c>
      <c r="L186" s="44">
        <f t="shared" si="111"/>
        <v>19.700459650092647</v>
      </c>
      <c r="N186">
        <v>11653</v>
      </c>
      <c r="O186" s="44">
        <f t="shared" si="112"/>
        <v>11.770588175877011</v>
      </c>
      <c r="Q186">
        <v>9395</v>
      </c>
      <c r="R186" s="44">
        <f t="shared" si="113"/>
        <v>9.4840552790704713</v>
      </c>
      <c r="T186">
        <v>4688</v>
      </c>
      <c r="U186" s="44">
        <f t="shared" si="114"/>
        <v>4.7460441195824936</v>
      </c>
      <c r="W186">
        <v>504</v>
      </c>
      <c r="X186" s="44">
        <f t="shared" si="115"/>
        <v>0.50891099106376536</v>
      </c>
      <c r="Z186">
        <v>8881</v>
      </c>
      <c r="AA186" s="44">
        <f t="shared" si="116"/>
        <v>8.9871381009724853</v>
      </c>
      <c r="AC186">
        <v>69</v>
      </c>
      <c r="AD186" s="44">
        <f t="shared" si="117"/>
        <v>6.9184029518519263E-2</v>
      </c>
      <c r="AF186">
        <v>10360</v>
      </c>
      <c r="AG186" s="44">
        <f t="shared" si="118"/>
        <v>10.460948149644066</v>
      </c>
      <c r="AI186">
        <v>13659</v>
      </c>
      <c r="AJ186" s="44">
        <f t="shared" si="119"/>
        <v>13.831198420333148</v>
      </c>
    </row>
    <row r="187" spans="1:37">
      <c r="A187" t="str">
        <f>+$AF$41</f>
        <v>Minneapolis, MN</v>
      </c>
      <c r="B187" s="44">
        <f>$AH$45</f>
        <v>0.56697666594774065</v>
      </c>
      <c r="C187" s="13">
        <f t="shared" si="110"/>
        <v>0.69634138534465273</v>
      </c>
      <c r="D187" s="36">
        <f>$D$138+((C187-$C$138)/($C$117-$C$138)*($D$117-$D$138))</f>
        <v>0.72511486265997793</v>
      </c>
      <c r="E187" s="13">
        <f>E120</f>
        <v>0.72511486265997793</v>
      </c>
      <c r="F187">
        <v>5.5</v>
      </c>
      <c r="G187" s="44">
        <f>F187*$F$23/$F$26*$F$25</f>
        <v>1.7997222222222222</v>
      </c>
      <c r="H187" s="20">
        <f>2^(G187/$B$21)</f>
        <v>1.1328620728593721</v>
      </c>
      <c r="J187" s="7" t="s">
        <v>264</v>
      </c>
      <c r="K187">
        <v>18838</v>
      </c>
      <c r="L187" s="44">
        <f t="shared" si="111"/>
        <v>19.284829499503495</v>
      </c>
      <c r="N187">
        <v>18256</v>
      </c>
      <c r="O187" s="44">
        <f t="shared" si="112"/>
        <v>18.440217775578024</v>
      </c>
      <c r="Q187">
        <v>12690</v>
      </c>
      <c r="R187" s="44">
        <f t="shared" si="113"/>
        <v>12.810288610048353</v>
      </c>
      <c r="T187">
        <v>12555</v>
      </c>
      <c r="U187" s="44">
        <f t="shared" si="114"/>
        <v>12.710448788685625</v>
      </c>
      <c r="W187">
        <v>7869</v>
      </c>
      <c r="X187" s="44">
        <f t="shared" si="115"/>
        <v>7.9456757711920023</v>
      </c>
      <c r="Z187">
        <v>13883</v>
      </c>
      <c r="AA187" s="44">
        <f t="shared" si="116"/>
        <v>14.048917718252563</v>
      </c>
      <c r="AC187">
        <v>3310</v>
      </c>
      <c r="AD187" s="44">
        <f t="shared" si="117"/>
        <v>3.3188280826999819</v>
      </c>
      <c r="AF187">
        <v>21776</v>
      </c>
      <c r="AG187" s="44">
        <f t="shared" si="118"/>
        <v>21.988185994850305</v>
      </c>
      <c r="AI187">
        <v>17395</v>
      </c>
      <c r="AJ187" s="44">
        <f t="shared" si="119"/>
        <v>17.61429801022733</v>
      </c>
    </row>
    <row r="188" spans="1:37">
      <c r="A188" t="str">
        <f>+$Q$41</f>
        <v>Modesto, CA</v>
      </c>
      <c r="B188" s="44">
        <f>$S$45</f>
        <v>0.87734781055829769</v>
      </c>
      <c r="C188" s="13">
        <f t="shared" si="110"/>
        <v>1.0775286295284221</v>
      </c>
      <c r="D188" s="36">
        <f>$D$86+((C188-$C$86)/($C$43-$C$86)*($D$43-$D$86))</f>
        <v>0.94305754900005123</v>
      </c>
      <c r="E188" s="13">
        <f>E76</f>
        <v>0.96977576657557996</v>
      </c>
      <c r="F188">
        <v>7.5</v>
      </c>
      <c r="G188" s="44">
        <f>F188*$F$23/$F$26*$F$25</f>
        <v>2.4541666666666666</v>
      </c>
      <c r="H188" s="20">
        <f>2^(G188/$B$21)</f>
        <v>1.1854350885855089</v>
      </c>
      <c r="J188" s="7" t="s">
        <v>265</v>
      </c>
      <c r="K188">
        <v>13573</v>
      </c>
      <c r="L188" s="44">
        <f t="shared" si="111"/>
        <v>13.894945896420053</v>
      </c>
      <c r="N188">
        <v>22088</v>
      </c>
      <c r="O188" s="44">
        <f t="shared" si="112"/>
        <v>22.310885748628799</v>
      </c>
      <c r="Q188">
        <v>16719</v>
      </c>
      <c r="R188" s="44">
        <f t="shared" si="113"/>
        <v>16.877479532813116</v>
      </c>
      <c r="T188">
        <v>23029</v>
      </c>
      <c r="U188" s="44">
        <f t="shared" si="114"/>
        <v>23.31413183230914</v>
      </c>
      <c r="W188">
        <v>30467</v>
      </c>
      <c r="X188" s="44">
        <f t="shared" si="115"/>
        <v>30.763871358610594</v>
      </c>
      <c r="Z188">
        <v>21898</v>
      </c>
      <c r="AA188" s="44">
        <f t="shared" si="116"/>
        <v>22.159706129388073</v>
      </c>
      <c r="AC188">
        <v>25586</v>
      </c>
      <c r="AD188" s="44">
        <f t="shared" si="117"/>
        <v>25.65424027914252</v>
      </c>
      <c r="AF188">
        <v>21684</v>
      </c>
      <c r="AG188" s="44">
        <f t="shared" si="118"/>
        <v>21.895289544100571</v>
      </c>
      <c r="AI188">
        <v>16572</v>
      </c>
      <c r="AJ188" s="44">
        <f t="shared" si="119"/>
        <v>16.78092248493747</v>
      </c>
    </row>
    <row r="189" spans="1:37">
      <c r="A189" t="str">
        <f>+$Z$41</f>
        <v>Montclair, NJ</v>
      </c>
      <c r="B189" s="44">
        <f>$AB$45</f>
        <v>0.65111894665093473</v>
      </c>
      <c r="C189" s="13">
        <f t="shared" si="110"/>
        <v>0.79968206200721115</v>
      </c>
      <c r="D189" s="36">
        <f>$D$117+((C189-$C$117)/($C$86-$C$117)*($D$86-$D$117))</f>
        <v>0.78623463372623303</v>
      </c>
      <c r="E189" s="13">
        <f>E111</f>
        <v>0.78623463372623303</v>
      </c>
      <c r="F189">
        <v>5.5</v>
      </c>
      <c r="G189" s="44">
        <f>F189*$F$23/$F$26*$F$25</f>
        <v>1.7997222222222222</v>
      </c>
      <c r="H189" s="20">
        <f>2^(G189/$B$21)</f>
        <v>1.1328620728593721</v>
      </c>
      <c r="J189" s="7" t="s">
        <v>266</v>
      </c>
      <c r="K189">
        <v>24609</v>
      </c>
      <c r="L189" s="44">
        <f t="shared" si="111"/>
        <v>25.192715211449279</v>
      </c>
      <c r="N189">
        <v>25185</v>
      </c>
      <c r="O189" s="44">
        <f t="shared" si="112"/>
        <v>25.439136978414361</v>
      </c>
      <c r="Q189">
        <v>34418</v>
      </c>
      <c r="R189" s="44">
        <f t="shared" si="113"/>
        <v>34.744248493352579</v>
      </c>
      <c r="T189">
        <v>47845</v>
      </c>
      <c r="U189" s="44">
        <f t="shared" si="114"/>
        <v>48.437389270781658</v>
      </c>
      <c r="W189">
        <v>53553</v>
      </c>
      <c r="X189" s="44">
        <f t="shared" si="115"/>
        <v>54.074822032614733</v>
      </c>
      <c r="Z189">
        <v>38475</v>
      </c>
      <c r="AA189" s="44">
        <f t="shared" si="116"/>
        <v>38.934820226879445</v>
      </c>
      <c r="AC189">
        <v>53232</v>
      </c>
      <c r="AD189" s="44">
        <f t="shared" si="117"/>
        <v>53.373974772895906</v>
      </c>
      <c r="AF189">
        <v>24203</v>
      </c>
      <c r="AG189" s="44">
        <f t="shared" si="118"/>
        <v>24.438834755389507</v>
      </c>
      <c r="AI189">
        <v>23569</v>
      </c>
      <c r="AJ189" s="44">
        <f t="shared" si="119"/>
        <v>23.866133360336185</v>
      </c>
    </row>
    <row r="190" spans="1:37">
      <c r="A190" t="str">
        <f>+$K$161</f>
        <v>Montreal, Canada</v>
      </c>
      <c r="B190" s="44">
        <f>$M$165</f>
        <v>0.50942383492469678</v>
      </c>
      <c r="C190" s="13">
        <f t="shared" si="110"/>
        <v>0.62565696305347684</v>
      </c>
      <c r="D190" s="36">
        <f>$D$138+((C190-$C$138)/($C$117-$C$138)*($D$117-$D$138))</f>
        <v>0.68062709810288602</v>
      </c>
      <c r="E190" s="13">
        <f>E129</f>
        <v>0.68062709810288602</v>
      </c>
      <c r="F190">
        <v>0</v>
      </c>
      <c r="G190" s="44">
        <v>0</v>
      </c>
      <c r="H190" s="20">
        <v>1</v>
      </c>
      <c r="J190" s="7" t="s">
        <v>267</v>
      </c>
      <c r="K190">
        <v>12191</v>
      </c>
      <c r="L190" s="44">
        <f t="shared" si="111"/>
        <v>12.48016543308457</v>
      </c>
      <c r="N190">
        <v>18321</v>
      </c>
      <c r="O190" s="44">
        <f t="shared" si="112"/>
        <v>18.505873678043656</v>
      </c>
      <c r="Q190">
        <v>24793</v>
      </c>
      <c r="R190" s="44">
        <f t="shared" si="113"/>
        <v>25.028013042468782</v>
      </c>
      <c r="T190">
        <v>10594</v>
      </c>
      <c r="U190" s="44">
        <f t="shared" si="114"/>
        <v>10.72516881460259</v>
      </c>
      <c r="W190">
        <v>6642</v>
      </c>
      <c r="X190" s="44">
        <f t="shared" si="115"/>
        <v>6.706719846518908</v>
      </c>
      <c r="Z190">
        <v>14740</v>
      </c>
      <c r="AA190" s="44">
        <f t="shared" si="116"/>
        <v>14.916159847802549</v>
      </c>
      <c r="AC190">
        <v>17368</v>
      </c>
      <c r="AD190" s="44">
        <f t="shared" si="117"/>
        <v>17.414322096777429</v>
      </c>
      <c r="AF190">
        <v>17932</v>
      </c>
      <c r="AG190" s="44">
        <f t="shared" si="118"/>
        <v>18.106729943959206</v>
      </c>
      <c r="AI190">
        <v>20269</v>
      </c>
      <c r="AJ190" s="44">
        <f t="shared" si="119"/>
        <v>20.524530403523872</v>
      </c>
    </row>
    <row r="191" spans="1:37">
      <c r="A191" t="str">
        <f>+$W$1</f>
        <v>Nashville, TN</v>
      </c>
      <c r="B191" s="44">
        <f>$Y$5</f>
        <v>0.82797418603264428</v>
      </c>
      <c r="C191" s="13">
        <f t="shared" si="110"/>
        <v>1.0168896294309311</v>
      </c>
      <c r="D191" s="36">
        <f>$D$86+((C191-$C$86)/($C$43-$C$86)*($D$43-$D$86))</f>
        <v>0.90938009676216991</v>
      </c>
      <c r="E191" s="13">
        <f>E83</f>
        <v>0.91520066648783793</v>
      </c>
      <c r="F191">
        <v>6.5</v>
      </c>
      <c r="G191" s="44">
        <f t="shared" ref="G191:G199" si="120">F191*$F$23/$F$26*$F$25</f>
        <v>2.1269444444444443</v>
      </c>
      <c r="H191" s="20">
        <f t="shared" ref="H191:H199" si="121">2^(G191/$B$21)</f>
        <v>1.1588504872049772</v>
      </c>
      <c r="J191" s="7" t="s">
        <v>268</v>
      </c>
      <c r="K191">
        <v>60</v>
      </c>
      <c r="L191" s="44">
        <f t="shared" si="111"/>
        <v>6.142317496391389E-2</v>
      </c>
      <c r="N191">
        <v>2939</v>
      </c>
      <c r="O191" s="44">
        <f t="shared" si="112"/>
        <v>2.9686568822537147</v>
      </c>
      <c r="Q191">
        <v>872</v>
      </c>
      <c r="R191" s="44">
        <f t="shared" si="113"/>
        <v>0.88026569487487505</v>
      </c>
      <c r="T191">
        <v>0</v>
      </c>
      <c r="U191" s="44">
        <f t="shared" si="114"/>
        <v>0</v>
      </c>
      <c r="W191">
        <v>0</v>
      </c>
      <c r="X191" s="44">
        <f t="shared" si="115"/>
        <v>0</v>
      </c>
      <c r="Z191">
        <v>88</v>
      </c>
      <c r="AA191" s="44">
        <f t="shared" si="116"/>
        <v>8.9051700583895804E-2</v>
      </c>
      <c r="AC191">
        <v>111</v>
      </c>
      <c r="AD191" s="44">
        <f t="shared" si="117"/>
        <v>0.11129604748631358</v>
      </c>
      <c r="AF191">
        <v>2817</v>
      </c>
      <c r="AG191" s="44">
        <f t="shared" si="118"/>
        <v>2.8444489321956885</v>
      </c>
      <c r="AI191">
        <v>4762</v>
      </c>
      <c r="AJ191" s="44">
        <f t="shared" si="119"/>
        <v>4.822034327375829</v>
      </c>
    </row>
    <row r="192" spans="1:37">
      <c r="A192" t="str">
        <f>+$Q$101</f>
        <v>New Orleans, LA</v>
      </c>
      <c r="B192" s="44">
        <f>$S$105</f>
        <v>1.1568103894868584</v>
      </c>
      <c r="C192" s="13">
        <f t="shared" si="110"/>
        <v>1.4207550285157839</v>
      </c>
      <c r="D192" s="36">
        <f>$D$86+((C192-$C$86)/($C$43-$C$86)*($D$43-$D$86))</f>
        <v>1.1336772927308709</v>
      </c>
      <c r="E192" s="13">
        <f>E53</f>
        <v>1.2786795256642056</v>
      </c>
      <c r="F192">
        <v>6.5</v>
      </c>
      <c r="G192" s="44">
        <f t="shared" si="120"/>
        <v>2.1269444444444443</v>
      </c>
      <c r="H192" s="20">
        <f t="shared" si="121"/>
        <v>1.1588504872049772</v>
      </c>
      <c r="J192" s="7" t="s">
        <v>269</v>
      </c>
      <c r="K192">
        <v>0</v>
      </c>
      <c r="L192" s="44">
        <f t="shared" si="111"/>
        <v>0</v>
      </c>
      <c r="N192">
        <v>0</v>
      </c>
      <c r="O192" s="44">
        <f t="shared" si="112"/>
        <v>0</v>
      </c>
      <c r="Q192">
        <v>0</v>
      </c>
      <c r="R192" s="44">
        <f t="shared" si="113"/>
        <v>0</v>
      </c>
      <c r="T192">
        <v>0</v>
      </c>
      <c r="U192" s="44">
        <f t="shared" si="114"/>
        <v>0</v>
      </c>
      <c r="W192">
        <v>0</v>
      </c>
      <c r="X192" s="44">
        <f t="shared" si="115"/>
        <v>0</v>
      </c>
      <c r="Z192">
        <v>0</v>
      </c>
      <c r="AA192" s="44">
        <f t="shared" si="116"/>
        <v>0</v>
      </c>
      <c r="AC192">
        <v>58</v>
      </c>
      <c r="AD192" s="44">
        <f t="shared" si="117"/>
        <v>5.8154691479335031E-2</v>
      </c>
      <c r="AF192">
        <v>43</v>
      </c>
      <c r="AG192" s="44">
        <f t="shared" si="118"/>
        <v>4.3418993285202198E-2</v>
      </c>
      <c r="AI192">
        <v>117</v>
      </c>
      <c r="AJ192" s="44">
        <f t="shared" si="119"/>
        <v>0.11847501392334567</v>
      </c>
    </row>
    <row r="193" spans="1:37">
      <c r="A193" t="str">
        <f>+$W$161</f>
        <v>Norfolk, VA</v>
      </c>
      <c r="B193" s="44">
        <f>$Y$165</f>
        <v>0.82223332852273634</v>
      </c>
      <c r="C193" s="13">
        <f t="shared" si="110"/>
        <v>1.0098389042219258</v>
      </c>
      <c r="D193" s="36">
        <f>$D$86+((C193-$C$86)/($C$43-$C$86)*($D$43-$D$86))</f>
        <v>0.90546429239390946</v>
      </c>
      <c r="E193" s="13">
        <f>E84</f>
        <v>0.90885501379973321</v>
      </c>
      <c r="F193">
        <v>6.5</v>
      </c>
      <c r="G193" s="44">
        <f t="shared" si="120"/>
        <v>2.1269444444444443</v>
      </c>
      <c r="H193" s="20">
        <f t="shared" si="121"/>
        <v>1.1588504872049772</v>
      </c>
    </row>
    <row r="194" spans="1:37">
      <c r="A194" t="str">
        <f>+$AC$181</f>
        <v>Oceanside, CA</v>
      </c>
      <c r="B194" s="44">
        <f>$AE$185</f>
        <v>0.69403735851040071</v>
      </c>
      <c r="C194" s="13">
        <f t="shared" si="110"/>
        <v>0.85239299027981752</v>
      </c>
      <c r="D194" s="36">
        <f>$D$117+((C194-$C$117)/($C$86-$C$117)*($D$86-$D$117))</f>
        <v>0.81617043539058121</v>
      </c>
      <c r="E194" s="13">
        <f>E104</f>
        <v>0.81617043539058121</v>
      </c>
      <c r="F194">
        <v>7.5</v>
      </c>
      <c r="G194" s="44">
        <f t="shared" si="120"/>
        <v>2.4541666666666666</v>
      </c>
      <c r="H194" s="20">
        <f t="shared" si="121"/>
        <v>1.1854350885855089</v>
      </c>
      <c r="K194">
        <f>SUM(K185:K192)</f>
        <v>97683</v>
      </c>
      <c r="L194">
        <f>SUM(L185:L192)</f>
        <v>100</v>
      </c>
      <c r="N194">
        <f>SUM(N185:N192)</f>
        <v>99001</v>
      </c>
      <c r="O194">
        <f>SUM(O185:O192)</f>
        <v>99.999999999999986</v>
      </c>
      <c r="Q194">
        <f>SUM(Q185:Q192)</f>
        <v>99061</v>
      </c>
      <c r="R194">
        <f>SUM(R185:R192)</f>
        <v>100</v>
      </c>
      <c r="T194">
        <f>SUM(T185:T192)</f>
        <v>98777</v>
      </c>
      <c r="U194">
        <f>SUM(U185:U192)</f>
        <v>100</v>
      </c>
      <c r="W194">
        <f>SUM(W185:W192)</f>
        <v>99035</v>
      </c>
      <c r="X194">
        <f>SUM(X185:X192)</f>
        <v>100</v>
      </c>
      <c r="Z194">
        <f>SUM(Z185:Z192)</f>
        <v>98819</v>
      </c>
      <c r="AA194">
        <f>SUM(AA185:AA192)</f>
        <v>99.999999999999986</v>
      </c>
      <c r="AC194">
        <f>SUM(AC185:AC192)</f>
        <v>99734</v>
      </c>
      <c r="AD194">
        <f>SUM(AD185:AD192)</f>
        <v>100</v>
      </c>
      <c r="AF194">
        <f>SUM(AF185:AF192)</f>
        <v>99035</v>
      </c>
      <c r="AG194">
        <f>SUM(AG185:AG192)</f>
        <v>100</v>
      </c>
      <c r="AI194">
        <f>SUM(AI185:AI192)</f>
        <v>98755</v>
      </c>
      <c r="AJ194">
        <f>SUM(AJ185:AJ192)</f>
        <v>100</v>
      </c>
    </row>
    <row r="195" spans="1:37">
      <c r="A195" t="str">
        <f>+$AI$81</f>
        <v>Oklahoma City, OK</v>
      </c>
      <c r="B195" s="44">
        <f>$AK$85</f>
        <v>0.8680282868257162</v>
      </c>
      <c r="C195" s="13">
        <f t="shared" si="110"/>
        <v>1.0660827086352749</v>
      </c>
      <c r="D195" s="36">
        <f>$D$86+((C195-$C$86)/($C$43-$C$86)*($D$43-$D$86))</f>
        <v>0.93670075793196306</v>
      </c>
      <c r="E195" s="13">
        <f>E79</f>
        <v>0.95947443777174746</v>
      </c>
      <c r="F195">
        <v>7.5</v>
      </c>
      <c r="G195" s="44">
        <f t="shared" si="120"/>
        <v>2.4541666666666666</v>
      </c>
      <c r="H195" s="20">
        <f t="shared" si="121"/>
        <v>1.1854350885855089</v>
      </c>
    </row>
    <row r="196" spans="1:37">
      <c r="A196" t="str">
        <f>+$AF$81</f>
        <v>Olympia, WA</v>
      </c>
      <c r="B196" s="44">
        <f>$AH$85</f>
        <v>0.51012152614438655</v>
      </c>
      <c r="C196" s="13">
        <f t="shared" si="110"/>
        <v>0.62651384359131956</v>
      </c>
      <c r="D196" s="36">
        <f>$D$138+((C196-$C$138)/($C$117-$C$138)*($D$117-$D$138))</f>
        <v>0.68116640645945803</v>
      </c>
      <c r="E196" s="13">
        <f>E128</f>
        <v>0.68116640645945803</v>
      </c>
      <c r="F196">
        <v>4.5</v>
      </c>
      <c r="G196" s="44">
        <f t="shared" si="120"/>
        <v>1.4724999999999999</v>
      </c>
      <c r="H196" s="20">
        <f t="shared" si="121"/>
        <v>1.1074564754411067</v>
      </c>
      <c r="J196" s="7" t="s">
        <v>270</v>
      </c>
      <c r="K196">
        <v>99301</v>
      </c>
      <c r="N196">
        <v>99301</v>
      </c>
      <c r="Q196">
        <v>99301</v>
      </c>
      <c r="T196">
        <v>99301</v>
      </c>
      <c r="W196">
        <v>99301</v>
      </c>
      <c r="Z196">
        <v>99301</v>
      </c>
      <c r="AC196">
        <v>99301</v>
      </c>
      <c r="AF196">
        <v>99301</v>
      </c>
      <c r="AI196">
        <v>99301</v>
      </c>
    </row>
    <row r="197" spans="1:37">
      <c r="A197" t="str">
        <f>+$AF$1</f>
        <v>Omaha, Nebraska</v>
      </c>
      <c r="B197" s="44">
        <f>$AH$5</f>
        <v>0.66116864712187295</v>
      </c>
      <c r="C197" s="13">
        <f t="shared" si="110"/>
        <v>0.81202476104321863</v>
      </c>
      <c r="D197" s="36">
        <f>$D$117+((C197-$C$117)/($C$86-$C$117)*($D$86-$D$117))</f>
        <v>0.79324434883566475</v>
      </c>
      <c r="E197" s="13">
        <f>E107</f>
        <v>0.79324434883566475</v>
      </c>
      <c r="F197">
        <v>6.5</v>
      </c>
      <c r="G197" s="44">
        <f t="shared" si="120"/>
        <v>2.1269444444444443</v>
      </c>
      <c r="H197" s="20">
        <f t="shared" si="121"/>
        <v>1.1588504872049772</v>
      </c>
    </row>
    <row r="198" spans="1:37">
      <c r="A198" t="str">
        <f>+$K$121</f>
        <v>Ontario Intl Airport</v>
      </c>
      <c r="B198" s="44">
        <f>$M$125</f>
        <v>0.89832724029066791</v>
      </c>
      <c r="C198" s="13">
        <f t="shared" si="110"/>
        <v>1.1032948489179975</v>
      </c>
      <c r="D198" s="36">
        <f>$D$86+((C198-$C$86)/($C$43-$C$86)*($D$43-$D$86))</f>
        <v>0.95736749180003322</v>
      </c>
      <c r="E198" s="13">
        <f>E71</f>
        <v>0.99296536402619784</v>
      </c>
      <c r="F198">
        <v>7.5</v>
      </c>
      <c r="G198" s="44">
        <f t="shared" si="120"/>
        <v>2.4541666666666666</v>
      </c>
      <c r="H198" s="20">
        <f t="shared" si="121"/>
        <v>1.1854350885855089</v>
      </c>
      <c r="J198" s="7" t="s">
        <v>271</v>
      </c>
      <c r="K198" s="50">
        <f>((K194/K196)-1)</f>
        <v>-1.6293894321305902E-2</v>
      </c>
      <c r="N198" s="50">
        <f>((N194/N196)-1)</f>
        <v>-3.0211176121086591E-3</v>
      </c>
      <c r="Q198" s="50">
        <f>((Q194/Q196)-1)</f>
        <v>-2.4168940896869273E-3</v>
      </c>
      <c r="T198" s="50">
        <f>((T194/T196)-1)</f>
        <v>-5.2768854291497247E-3</v>
      </c>
      <c r="W198" s="50">
        <f>((W194/W196)-1)</f>
        <v>-2.6787242827363E-3</v>
      </c>
      <c r="Z198" s="50">
        <f>((Z194/Z196)-1)</f>
        <v>-4.8539289634546012E-3</v>
      </c>
      <c r="AC198" s="50">
        <f>((AC194/AC196)-1)</f>
        <v>4.3604797534768647E-3</v>
      </c>
      <c r="AF198" s="50">
        <f>((AF194/AF196)-1)</f>
        <v>-2.6787242827363E-3</v>
      </c>
      <c r="AI198" s="50">
        <f>((AI194/AI196)-1)</f>
        <v>-5.4984340540377152E-3</v>
      </c>
    </row>
    <row r="199" spans="1:37">
      <c r="A199" t="str">
        <f>+$AC$101</f>
        <v>Orlando, FL</v>
      </c>
      <c r="B199" s="44">
        <f>$AE$105</f>
        <v>1.2014983180899714</v>
      </c>
      <c r="C199" s="13">
        <f t="shared" si="110"/>
        <v>1.4756392168441672</v>
      </c>
      <c r="D199" s="36">
        <f>$D$86+((C199-$C$86)/($C$43-$C$86)*($D$43-$D$86))</f>
        <v>1.1641586599709697</v>
      </c>
      <c r="E199" s="13">
        <f>E50</f>
        <v>1.3280752951597505</v>
      </c>
      <c r="F199">
        <v>6.5</v>
      </c>
      <c r="G199" s="44">
        <f t="shared" si="120"/>
        <v>2.1269444444444443</v>
      </c>
      <c r="H199" s="20">
        <f t="shared" si="121"/>
        <v>1.1588504872049772</v>
      </c>
    </row>
    <row r="200" spans="1:37">
      <c r="A200" t="str">
        <f>+$Z$1</f>
        <v>Ota, Japan</v>
      </c>
      <c r="B200" s="44">
        <f>$AB$5</f>
        <v>0.80151369358396618</v>
      </c>
      <c r="C200" s="13">
        <f t="shared" si="110"/>
        <v>0.98439175592882722</v>
      </c>
      <c r="D200" s="36">
        <f>$D$117+((C200-$C$117)/($C$86-$C$117)*($D$86-$D$117))</f>
        <v>0.89113570346500248</v>
      </c>
      <c r="E200" s="13">
        <f>E87</f>
        <v>0.89113570346500248</v>
      </c>
      <c r="F200">
        <v>0</v>
      </c>
      <c r="G200" s="44">
        <v>0</v>
      </c>
      <c r="H200" s="20">
        <v>1</v>
      </c>
    </row>
    <row r="201" spans="1:37">
      <c r="A201" t="str">
        <f>+$T$1</f>
        <v>Palm Springs, CA</v>
      </c>
      <c r="B201" s="44">
        <f>$V$5</f>
        <v>1.4423792607100103</v>
      </c>
      <c r="C201" s="13">
        <f t="shared" si="110"/>
        <v>1.7714809672392782</v>
      </c>
      <c r="D201" s="36">
        <f>$D$86+((C201-$C$86)/($C$43-$C$86)*($D$43-$D$86))</f>
        <v>1.3284621016979845</v>
      </c>
      <c r="E201" s="13">
        <f>E45</f>
        <v>1.5943328705153503</v>
      </c>
      <c r="F201">
        <v>9</v>
      </c>
      <c r="G201" s="44">
        <f>F201*$F$23/$F$26*$F$25</f>
        <v>2.9449999999999998</v>
      </c>
      <c r="H201" s="20">
        <f>2^(G201/$B$21)</f>
        <v>1.2264598449964383</v>
      </c>
      <c r="J201" s="7"/>
      <c r="K201" s="7" t="s">
        <v>256</v>
      </c>
      <c r="L201" s="7"/>
      <c r="M201" s="7"/>
      <c r="N201" s="7" t="s">
        <v>257</v>
      </c>
      <c r="O201" s="7"/>
      <c r="P201" s="7"/>
      <c r="Q201" s="7" t="s">
        <v>258</v>
      </c>
      <c r="R201" s="7"/>
      <c r="S201" s="7"/>
      <c r="T201" s="7" t="s">
        <v>124</v>
      </c>
      <c r="U201" s="7"/>
      <c r="V201" s="7"/>
      <c r="W201" s="7" t="s">
        <v>259</v>
      </c>
      <c r="X201" s="7"/>
      <c r="Y201" s="7"/>
      <c r="Z201" s="7" t="s">
        <v>209</v>
      </c>
      <c r="AA201" s="7"/>
      <c r="AB201" s="7"/>
      <c r="AC201" s="7" t="s">
        <v>209</v>
      </c>
      <c r="AD201" s="7"/>
      <c r="AE201" s="7"/>
      <c r="AF201" s="7" t="s">
        <v>209</v>
      </c>
      <c r="AG201" s="7"/>
      <c r="AH201" s="7"/>
      <c r="AI201" s="7" t="s">
        <v>209</v>
      </c>
      <c r="AJ201" s="7"/>
      <c r="AK201" s="7"/>
    </row>
    <row r="202" spans="1:37">
      <c r="A202" t="str">
        <f>+$Z$101</f>
        <v>Palmdale, CA</v>
      </c>
      <c r="B202" s="44">
        <f>$AB$105</f>
        <v>0.91341613009508205</v>
      </c>
      <c r="C202" s="13">
        <f t="shared" si="110"/>
        <v>1.1218265082626644</v>
      </c>
      <c r="D202" s="36">
        <f>$D$86+((C202-$C$86)/($C$43-$C$86)*($D$43-$D$86))</f>
        <v>0.96765953275495209</v>
      </c>
      <c r="E202" s="13">
        <f>E69</f>
        <v>1.009643857436398</v>
      </c>
      <c r="F202">
        <v>7.5</v>
      </c>
      <c r="G202" s="44">
        <f>F202*$F$23/$F$26*$F$25</f>
        <v>2.4541666666666666</v>
      </c>
      <c r="H202" s="20">
        <f>2^(G202/$B$21)</f>
        <v>1.1854350885855089</v>
      </c>
      <c r="M202" s="28" t="s">
        <v>149</v>
      </c>
      <c r="P202" s="28" t="s">
        <v>149</v>
      </c>
      <c r="S202" s="28" t="s">
        <v>149</v>
      </c>
      <c r="V202" s="28" t="s">
        <v>149</v>
      </c>
      <c r="Y202" s="28" t="s">
        <v>149</v>
      </c>
    </row>
    <row r="203" spans="1:37">
      <c r="A203" t="str">
        <f>+$AF$61</f>
        <v>Paris, France</v>
      </c>
      <c r="B203" s="44">
        <f>$AH$65</f>
        <v>0.5632502311042189</v>
      </c>
      <c r="C203" s="13">
        <f t="shared" si="110"/>
        <v>0.69176470528499456</v>
      </c>
      <c r="D203" s="36">
        <f>$D$138+((C203-$C$138)/($C$117-$C$138)*($D$117-$D$138))</f>
        <v>0.72223436567991517</v>
      </c>
      <c r="E203" s="13">
        <f>E121</f>
        <v>0.72223436567991517</v>
      </c>
      <c r="F203">
        <v>0</v>
      </c>
      <c r="G203" s="44">
        <v>0</v>
      </c>
      <c r="H203" s="20">
        <v>1</v>
      </c>
      <c r="J203" s="7" t="s">
        <v>260</v>
      </c>
      <c r="K203" t="s">
        <v>261</v>
      </c>
      <c r="L203" t="s">
        <v>54</v>
      </c>
      <c r="M203" s="28" t="s">
        <v>73</v>
      </c>
      <c r="N203" t="s">
        <v>261</v>
      </c>
      <c r="O203" t="s">
        <v>54</v>
      </c>
      <c r="P203" s="28" t="s">
        <v>73</v>
      </c>
      <c r="Q203" t="s">
        <v>261</v>
      </c>
      <c r="R203" t="s">
        <v>54</v>
      </c>
      <c r="S203" s="28" t="s">
        <v>73</v>
      </c>
      <c r="T203" t="s">
        <v>261</v>
      </c>
      <c r="U203" t="s">
        <v>54</v>
      </c>
      <c r="V203" s="28" t="s">
        <v>73</v>
      </c>
      <c r="W203" t="s">
        <v>261</v>
      </c>
      <c r="X203" t="s">
        <v>54</v>
      </c>
      <c r="Y203" s="28" t="s">
        <v>73</v>
      </c>
      <c r="Z203" t="s">
        <v>261</v>
      </c>
      <c r="AA203" t="s">
        <v>54</v>
      </c>
      <c r="AC203" t="s">
        <v>261</v>
      </c>
      <c r="AD203" t="s">
        <v>54</v>
      </c>
      <c r="AF203" t="s">
        <v>261</v>
      </c>
      <c r="AG203" t="s">
        <v>54</v>
      </c>
      <c r="AI203" t="s">
        <v>261</v>
      </c>
      <c r="AJ203" t="s">
        <v>54</v>
      </c>
    </row>
    <row r="204" spans="1:37">
      <c r="A204" t="str">
        <f>+$W$141</f>
        <v>Philadelphia, PA</v>
      </c>
      <c r="B204" s="44">
        <f>$Y$145</f>
        <v>0.71254304873275498</v>
      </c>
      <c r="C204" s="13">
        <f t="shared" si="110"/>
        <v>0.87512104725311979</v>
      </c>
      <c r="D204" s="36">
        <f>$D$117+((C204-$C$117)/($C$86-$C$117)*($D$86-$D$117))</f>
        <v>0.82907824460710711</v>
      </c>
      <c r="E204" s="13">
        <f>E103</f>
        <v>0.82907824460710711</v>
      </c>
      <c r="F204">
        <v>5.5</v>
      </c>
      <c r="G204" s="44">
        <f>F204*$F$23/$F$26*$F$25</f>
        <v>1.7997222222222222</v>
      </c>
      <c r="H204" s="20">
        <f>2^(G204/$B$21)</f>
        <v>1.1328620728593721</v>
      </c>
    </row>
    <row r="205" spans="1:37">
      <c r="A205" t="str">
        <f>+$W$21</f>
        <v>Phoenix, AZ</v>
      </c>
      <c r="B205" s="44">
        <f>$Y$25</f>
        <v>1.4739554053757069</v>
      </c>
      <c r="C205" s="13">
        <f t="shared" si="110"/>
        <v>1.8102617101532748</v>
      </c>
      <c r="D205" s="36">
        <v>1.35</v>
      </c>
      <c r="E205" s="13">
        <f>E43</f>
        <v>1.6292355391379474</v>
      </c>
      <c r="F205">
        <v>9</v>
      </c>
      <c r="G205" s="44">
        <f>F205*$F$23/$F$26*$F$25</f>
        <v>2.9449999999999998</v>
      </c>
      <c r="H205" s="20">
        <f>2^(G205/$B$21)</f>
        <v>1.2264598449964383</v>
      </c>
      <c r="J205" s="7" t="s">
        <v>262</v>
      </c>
      <c r="K205">
        <v>0</v>
      </c>
      <c r="L205" s="44">
        <f t="shared" ref="L205:L212" si="122">K205/$K$214*100</f>
        <v>0</v>
      </c>
      <c r="M205" s="13">
        <f>((L205*$A$25)+(L206*$A$26)+(L207*$A$27)+(L208*$A$28)+(L209*$A$29)+(L210*$A$30)+(L211*$A$31)+(L212*$A$32))/100</f>
        <v>0.71799862129927061</v>
      </c>
      <c r="N205">
        <v>1222</v>
      </c>
      <c r="O205" s="44">
        <f t="shared" ref="O205:O212" si="123">N205/$N$214*100</f>
        <v>1.2352417920103509</v>
      </c>
      <c r="P205" s="13">
        <f>((O205*$A$25)+(O206*$A$26)+(O207*$A$27)+(O208*$A$28)+(O209*$A$29)+(O210*$A$30)+(O211*$A$31)+(O212*$A$32))/100</f>
        <v>0.95450902183924891</v>
      </c>
      <c r="Q205">
        <v>0</v>
      </c>
      <c r="R205" s="44">
        <f t="shared" ref="R205:R212" si="124">Q205/$Q$214*100</f>
        <v>0</v>
      </c>
      <c r="S205" s="13">
        <f>((R205*$A$25)+(R206*$A$26)+(R207*$A$27)+(R208*$A$28)+(R209*$A$29)+(R210*$A$30)+(R211*$A$31)+(R212*$A$32))/100</f>
        <v>0.48850723282988973</v>
      </c>
      <c r="T205">
        <v>276</v>
      </c>
      <c r="U205" s="44">
        <f t="shared" ref="U205:U212" si="125">T205/$T$214*100</f>
        <v>0.27835207503403758</v>
      </c>
      <c r="V205" s="13">
        <f>((U205*$A$25)+(U206*$A$26)+(U207*$A$27)+(U208*$A$28)+(U209*$A$29)+(U210*$A$30)+(U211*$A$31)+(U212*$A$32))/100</f>
        <v>0.78385176604722928</v>
      </c>
      <c r="W205">
        <v>557</v>
      </c>
      <c r="X205" s="44">
        <f t="shared" ref="X205:X212" si="126">W205/$W$214*100</f>
        <v>0.56214361406872881</v>
      </c>
      <c r="Y205" s="13">
        <f>((X205*$A$25)+(X206*$A$26)+(X207*$A$27)+(X208*$A$28)+(X209*$A$29)+(X210*$A$30)+(X211*$A$31)+(X212*$A$32))/100</f>
        <v>1.002534841204082</v>
      </c>
      <c r="AA205" s="44"/>
      <c r="AD205" s="44"/>
      <c r="AG205" s="44"/>
      <c r="AJ205" s="44"/>
    </row>
    <row r="206" spans="1:37">
      <c r="A206" t="str">
        <f>+$AC$141</f>
        <v>Pittsburgh, PA</v>
      </c>
      <c r="B206" s="44">
        <f>$AE$145</f>
        <v>0.62718704748422083</v>
      </c>
      <c r="C206" s="13">
        <f t="shared" si="110"/>
        <v>0.77028972045145805</v>
      </c>
      <c r="D206" s="36">
        <f>$D$117+((C206-$C$117)/($C$86-$C$117)*($D$86-$D$117))</f>
        <v>0.76954201729737237</v>
      </c>
      <c r="E206" s="13">
        <f>E114</f>
        <v>0.76954201729737237</v>
      </c>
      <c r="F206">
        <v>5.5</v>
      </c>
      <c r="G206" s="44">
        <f>F206*$F$23/$F$26*$F$25</f>
        <v>1.7997222222222222</v>
      </c>
      <c r="H206" s="20">
        <f>2^(G206/$B$21)</f>
        <v>1.1328620728593721</v>
      </c>
      <c r="J206" s="7" t="s">
        <v>263</v>
      </c>
      <c r="K206">
        <v>4606</v>
      </c>
      <c r="L206" s="44">
        <f t="shared" si="122"/>
        <v>4.6087191442951339</v>
      </c>
      <c r="N206">
        <v>10549</v>
      </c>
      <c r="O206" s="44">
        <f t="shared" si="123"/>
        <v>10.663310690603268</v>
      </c>
      <c r="Q206">
        <v>193</v>
      </c>
      <c r="R206" s="44">
        <f t="shared" si="124"/>
        <v>0.19221001683082531</v>
      </c>
      <c r="T206">
        <v>5706</v>
      </c>
      <c r="U206" s="44">
        <f t="shared" si="125"/>
        <v>5.7546265947254298</v>
      </c>
      <c r="W206">
        <v>11738</v>
      </c>
      <c r="X206" s="44">
        <f t="shared" si="126"/>
        <v>11.846394509764343</v>
      </c>
      <c r="AA206" s="44"/>
      <c r="AD206" s="44"/>
      <c r="AG206" s="44"/>
      <c r="AJ206" s="44"/>
    </row>
    <row r="207" spans="1:37">
      <c r="A207" t="str">
        <f>+$Q$1</f>
        <v>Portland, OR</v>
      </c>
      <c r="B207" s="44">
        <f>$S$5</f>
        <v>0.58491856587296209</v>
      </c>
      <c r="C207" s="13">
        <f t="shared" si="110"/>
        <v>0.71837701432201073</v>
      </c>
      <c r="D207" s="36">
        <f>$D$138+((C207-$C$138)/($C$117-$C$138)*($D$117-$D$138))</f>
        <v>0.7389837724145748</v>
      </c>
      <c r="E207" s="13">
        <f>E119</f>
        <v>0.7389837724145748</v>
      </c>
      <c r="F207">
        <v>5.5</v>
      </c>
      <c r="G207" s="44">
        <f>F207*$F$23/$F$26*$F$25</f>
        <v>1.7997222222222222</v>
      </c>
      <c r="H207" s="20">
        <f>2^(G207/$B$21)</f>
        <v>1.1328620728593721</v>
      </c>
      <c r="J207" s="7" t="s">
        <v>264</v>
      </c>
      <c r="K207">
        <v>11364</v>
      </c>
      <c r="L207" s="44">
        <f t="shared" si="122"/>
        <v>11.370708718143705</v>
      </c>
      <c r="N207">
        <v>13345</v>
      </c>
      <c r="O207" s="44">
        <f t="shared" si="123"/>
        <v>13.489608604237425</v>
      </c>
      <c r="Q207">
        <v>3334</v>
      </c>
      <c r="R207" s="44">
        <f t="shared" si="124"/>
        <v>3.3203533477407858</v>
      </c>
      <c r="T207">
        <v>9406</v>
      </c>
      <c r="U207" s="44">
        <f t="shared" si="125"/>
        <v>9.4861580353991233</v>
      </c>
      <c r="W207">
        <v>18537</v>
      </c>
      <c r="X207" s="44">
        <f t="shared" si="126"/>
        <v>18.708179845587122</v>
      </c>
      <c r="AA207" s="44"/>
      <c r="AD207" s="44"/>
      <c r="AG207" s="44"/>
      <c r="AJ207" s="44"/>
    </row>
    <row r="208" spans="1:37">
      <c r="A208" t="str">
        <f>+$T$161</f>
        <v>Porto, Portugal</v>
      </c>
      <c r="B208" s="44">
        <f>$V$165</f>
        <v>0.65766132233627361</v>
      </c>
      <c r="C208" s="13">
        <f t="shared" si="110"/>
        <v>0.80771718447659679</v>
      </c>
      <c r="D208" s="36">
        <f>$D$117+((C208-$C$117)/($C$86-$C$117)*($D$86-$D$117))</f>
        <v>0.79079797268600771</v>
      </c>
      <c r="E208" s="13">
        <f>E108</f>
        <v>0.79079797268600771</v>
      </c>
      <c r="F208">
        <v>0</v>
      </c>
      <c r="G208" s="44">
        <v>0</v>
      </c>
      <c r="H208" s="20">
        <v>1</v>
      </c>
      <c r="J208" s="7" t="s">
        <v>265</v>
      </c>
      <c r="K208">
        <v>15230</v>
      </c>
      <c r="L208" s="44">
        <f t="shared" si="122"/>
        <v>15.238991004692767</v>
      </c>
      <c r="N208">
        <v>16654</v>
      </c>
      <c r="O208" s="44">
        <f t="shared" si="123"/>
        <v>16.834465469836648</v>
      </c>
      <c r="Q208">
        <v>9934</v>
      </c>
      <c r="R208" s="44">
        <f t="shared" si="124"/>
        <v>9.8933383792612357</v>
      </c>
      <c r="T208">
        <v>13840</v>
      </c>
      <c r="U208" s="44">
        <f t="shared" si="125"/>
        <v>13.957944632141597</v>
      </c>
      <c r="W208">
        <v>18989</v>
      </c>
      <c r="X208" s="44">
        <f t="shared" si="126"/>
        <v>19.164353837614172</v>
      </c>
      <c r="AA208" s="44"/>
      <c r="AD208" s="44"/>
      <c r="AG208" s="44"/>
      <c r="AJ208" s="44"/>
    </row>
    <row r="209" spans="1:36">
      <c r="A209" t="str">
        <f>+$K$201</f>
        <v>Prescott, AZ</v>
      </c>
      <c r="B209" s="44">
        <f>$M$205</f>
        <v>0.71799862129927061</v>
      </c>
      <c r="C209" s="13">
        <f t="shared" ref="C209:C240" si="127">B209/$F$32</f>
        <v>0.8818213952338706</v>
      </c>
      <c r="D209" s="36">
        <f>$D$117+((C209-$C$117)/($C$86-$C$117)*($D$86-$D$117))</f>
        <v>0.8328835330891563</v>
      </c>
      <c r="E209" s="13">
        <f>E101</f>
        <v>0.8328835330891563</v>
      </c>
      <c r="F209">
        <v>9</v>
      </c>
      <c r="G209" s="44">
        <f>F209*$F$23/$F$26*$F$25</f>
        <v>2.9449999999999998</v>
      </c>
      <c r="H209" s="20">
        <f>2^(G209/$B$21)</f>
        <v>1.2264598449964383</v>
      </c>
      <c r="J209" s="7" t="s">
        <v>266</v>
      </c>
      <c r="K209">
        <v>27556</v>
      </c>
      <c r="L209" s="44">
        <f t="shared" si="122"/>
        <v>27.572267637906368</v>
      </c>
      <c r="N209">
        <v>33557</v>
      </c>
      <c r="O209" s="44">
        <f t="shared" si="123"/>
        <v>33.920629144428268</v>
      </c>
      <c r="Q209">
        <v>29532</v>
      </c>
      <c r="R209" s="44">
        <f t="shared" si="124"/>
        <v>29.411120295585146</v>
      </c>
      <c r="T209">
        <v>43440</v>
      </c>
      <c r="U209" s="44">
        <f t="shared" si="125"/>
        <v>43.810196157531138</v>
      </c>
      <c r="W209">
        <v>25624</v>
      </c>
      <c r="X209" s="44">
        <f t="shared" si="126"/>
        <v>25.860624716152795</v>
      </c>
      <c r="AA209" s="44"/>
      <c r="AD209" s="44"/>
      <c r="AG209" s="44"/>
      <c r="AJ209" s="44"/>
    </row>
    <row r="210" spans="1:36">
      <c r="A210" t="str">
        <f>+$AF$161</f>
        <v>Raleigh, NC</v>
      </c>
      <c r="B210" s="44">
        <f>$AH$165</f>
        <v>0.81465800010816058</v>
      </c>
      <c r="C210" s="13">
        <f t="shared" si="127"/>
        <v>1.00053514447402</v>
      </c>
      <c r="D210" s="36">
        <f>$D$86+((C210-$C$86)/($C$43-$C$86)*($D$43-$D$86))</f>
        <v>0.90029720645847067</v>
      </c>
      <c r="E210" s="13">
        <f>E85</f>
        <v>0.90048163002661796</v>
      </c>
      <c r="F210">
        <v>6.5</v>
      </c>
      <c r="G210" s="44">
        <f>F210*$F$23/$F$26*$F$25</f>
        <v>2.1269444444444443</v>
      </c>
      <c r="H210" s="20">
        <f>2^(G210/$B$21)</f>
        <v>1.1588504872049772</v>
      </c>
      <c r="J210" s="7" t="s">
        <v>267</v>
      </c>
      <c r="K210">
        <v>31028</v>
      </c>
      <c r="L210" s="44">
        <f t="shared" si="122"/>
        <v>31.046317327223061</v>
      </c>
      <c r="N210">
        <v>23007</v>
      </c>
      <c r="O210" s="44">
        <f t="shared" si="123"/>
        <v>23.256307617661328</v>
      </c>
      <c r="Q210">
        <v>37871</v>
      </c>
      <c r="R210" s="44">
        <f t="shared" si="124"/>
        <v>37.715987292228938</v>
      </c>
      <c r="T210">
        <v>25932</v>
      </c>
      <c r="U210" s="44">
        <f t="shared" si="125"/>
        <v>26.152992789067618</v>
      </c>
      <c r="W210">
        <v>20327</v>
      </c>
      <c r="X210" s="44">
        <f t="shared" si="126"/>
        <v>20.51470959277388</v>
      </c>
      <c r="AA210" s="44"/>
      <c r="AD210" s="44"/>
      <c r="AG210" s="44"/>
      <c r="AJ210" s="44"/>
    </row>
    <row r="211" spans="1:36">
      <c r="A211" t="str">
        <f>+$AC$121</f>
        <v>Reno, NV</v>
      </c>
      <c r="B211" s="44">
        <f>$AE$125</f>
        <v>0.64938586828868461</v>
      </c>
      <c r="C211" s="13">
        <f t="shared" si="127"/>
        <v>0.79755355432751174</v>
      </c>
      <c r="D211" s="36">
        <f>$D$117+((C211-$C$117)/($C$86-$C$117)*($D$86-$D$117))</f>
        <v>0.78502580311313908</v>
      </c>
      <c r="E211" s="13">
        <f>E112</f>
        <v>0.78502580311313908</v>
      </c>
      <c r="F211">
        <v>9</v>
      </c>
      <c r="G211" s="44">
        <f>F211*$F$23/$F$26*$F$25</f>
        <v>2.9449999999999998</v>
      </c>
      <c r="H211" s="20">
        <f>2^(G211/$B$21)</f>
        <v>1.2264598449964383</v>
      </c>
      <c r="J211" s="7" t="s">
        <v>268</v>
      </c>
      <c r="K211">
        <v>10019</v>
      </c>
      <c r="L211" s="44">
        <f t="shared" si="122"/>
        <v>10.024914699672808</v>
      </c>
      <c r="N211">
        <v>594</v>
      </c>
      <c r="O211" s="44">
        <f t="shared" si="123"/>
        <v>0.60043668122270744</v>
      </c>
      <c r="Q211">
        <v>17340</v>
      </c>
      <c r="R211" s="44">
        <f t="shared" si="124"/>
        <v>17.269024310085548</v>
      </c>
      <c r="T211">
        <v>555</v>
      </c>
      <c r="U211" s="44">
        <f t="shared" si="125"/>
        <v>0.55972971610105393</v>
      </c>
      <c r="W211">
        <v>3313</v>
      </c>
      <c r="X211" s="44">
        <f t="shared" si="126"/>
        <v>3.3435938840389561</v>
      </c>
      <c r="AA211" s="44"/>
      <c r="AD211" s="44"/>
      <c r="AG211" s="44"/>
      <c r="AJ211" s="44"/>
    </row>
    <row r="212" spans="1:36">
      <c r="A212" t="str">
        <f>+$K$1</f>
        <v>Ridgecrest, CA</v>
      </c>
      <c r="B212" s="44">
        <f>$M$5</f>
        <v>1.1156838112530407</v>
      </c>
      <c r="C212" s="13">
        <f t="shared" si="127"/>
        <v>1.3702447691315618</v>
      </c>
      <c r="D212" s="36">
        <f>$D$86+((C212-$C$86)/($C$43-$C$86)*($D$43-$D$86))</f>
        <v>1.1056251011511895</v>
      </c>
      <c r="E212" s="13">
        <f>E55</f>
        <v>1.2332202922184055</v>
      </c>
      <c r="F212">
        <v>9</v>
      </c>
      <c r="G212" s="44">
        <f>F212*$F$23/$F$26*$F$25</f>
        <v>2.9449999999999998</v>
      </c>
      <c r="H212" s="20">
        <f>2^(G212/$B$21)</f>
        <v>1.2264598449964383</v>
      </c>
      <c r="J212" s="7" t="s">
        <v>269</v>
      </c>
      <c r="K212">
        <v>138</v>
      </c>
      <c r="L212" s="44">
        <f t="shared" si="122"/>
        <v>0.13808146806615904</v>
      </c>
      <c r="N212">
        <v>0</v>
      </c>
      <c r="O212" s="44">
        <f t="shared" si="123"/>
        <v>0</v>
      </c>
      <c r="Q212">
        <v>2207</v>
      </c>
      <c r="R212" s="44">
        <f t="shared" si="124"/>
        <v>2.1979663582675202</v>
      </c>
      <c r="T212">
        <v>0</v>
      </c>
      <c r="U212" s="44">
        <f t="shared" si="125"/>
        <v>0</v>
      </c>
      <c r="W212">
        <v>0</v>
      </c>
      <c r="X212" s="44">
        <f t="shared" si="126"/>
        <v>0</v>
      </c>
      <c r="AA212" s="44"/>
      <c r="AD212" s="44"/>
      <c r="AG212" s="44"/>
      <c r="AJ212" s="44"/>
    </row>
    <row r="213" spans="1:36">
      <c r="A213" t="str">
        <f>+$AI$101</f>
        <v>Riverside, CA</v>
      </c>
      <c r="B213" s="44">
        <f>$AK$105</f>
        <v>0.89010291596838753</v>
      </c>
      <c r="C213" s="13">
        <f t="shared" si="127"/>
        <v>1.0931940145520409</v>
      </c>
      <c r="D213" s="36">
        <f>$D$86+((C213-$C$86)/($C$43-$C$86)*($D$43-$D$86))</f>
        <v>0.95175772966056271</v>
      </c>
      <c r="E213" s="13">
        <f>E73</f>
        <v>0.98387461309683688</v>
      </c>
      <c r="F213">
        <v>9</v>
      </c>
      <c r="G213" s="44">
        <f>F213*$F$23/$F$26*$F$25</f>
        <v>2.9449999999999998</v>
      </c>
      <c r="H213" s="20">
        <f>2^(G213/$B$21)</f>
        <v>1.2264598449964383</v>
      </c>
    </row>
    <row r="214" spans="1:36">
      <c r="A214" t="str">
        <f>+$AI$1</f>
        <v>Rygge, Norway</v>
      </c>
      <c r="B214" s="44">
        <f>$AK$5</f>
        <v>0.42011966339245665</v>
      </c>
      <c r="C214" s="13">
        <f t="shared" si="127"/>
        <v>0.51597662829425339</v>
      </c>
      <c r="D214" s="36">
        <f>$D$138+((C214-$C$138)/($C$117-$C$138)*($D$117-$D$138))</f>
        <v>0.61159586390518506</v>
      </c>
      <c r="E214" s="13">
        <f>E137</f>
        <v>0.61159586390518506</v>
      </c>
      <c r="F214">
        <v>0</v>
      </c>
      <c r="G214" s="44">
        <v>0</v>
      </c>
      <c r="H214" s="20">
        <v>1</v>
      </c>
      <c r="K214">
        <f>SUM(K205:K212)</f>
        <v>99941</v>
      </c>
      <c r="L214">
        <f>SUM(L205:L212)</f>
        <v>100</v>
      </c>
      <c r="N214">
        <f>SUM(N205:N212)</f>
        <v>98928</v>
      </c>
      <c r="O214">
        <f>SUM(O205:O212)</f>
        <v>99.999999999999972</v>
      </c>
      <c r="Q214">
        <f>SUM(Q205:Q212)</f>
        <v>100411</v>
      </c>
      <c r="R214">
        <f>SUM(R205:R212)</f>
        <v>99.999999999999986</v>
      </c>
      <c r="T214">
        <f>SUM(T205:T212)</f>
        <v>99155</v>
      </c>
      <c r="U214">
        <f>SUM(U205:U212)</f>
        <v>100</v>
      </c>
      <c r="W214">
        <f>SUM(W205:W212)</f>
        <v>99085</v>
      </c>
      <c r="X214">
        <f>SUM(X205:X212)</f>
        <v>100</v>
      </c>
      <c r="Z214">
        <f>SUM(Z205:Z212)</f>
        <v>0</v>
      </c>
      <c r="AA214">
        <f>SUM(AA205:AA212)</f>
        <v>0</v>
      </c>
      <c r="AC214">
        <f>SUM(AC205:AC212)</f>
        <v>0</v>
      </c>
      <c r="AD214">
        <f>SUM(AD205:AD212)</f>
        <v>0</v>
      </c>
      <c r="AF214">
        <f>SUM(AF205:AF212)</f>
        <v>0</v>
      </c>
      <c r="AG214">
        <f>SUM(AG205:AG212)</f>
        <v>0</v>
      </c>
      <c r="AI214">
        <f>SUM(AI205:AI212)</f>
        <v>0</v>
      </c>
      <c r="AJ214">
        <f>SUM(AJ205:AJ212)</f>
        <v>0</v>
      </c>
    </row>
    <row r="215" spans="1:36">
      <c r="A215" t="str">
        <f>+$T$201</f>
        <v>Sacramento, CA</v>
      </c>
      <c r="B215" s="44">
        <f>$V$205</f>
        <v>0.78385176604722928</v>
      </c>
      <c r="C215" s="13">
        <f t="shared" si="127"/>
        <v>0.96269997948114916</v>
      </c>
      <c r="D215" s="36">
        <f>$D$117+((C215-$C$117)/($C$86-$C$117)*($D$86-$D$117))</f>
        <v>0.87881642283828398</v>
      </c>
      <c r="E215" s="13">
        <f>E93</f>
        <v>0.87881642283828398</v>
      </c>
      <c r="F215">
        <v>7.5</v>
      </c>
      <c r="G215" s="44">
        <f t="shared" ref="G215:G225" si="128">F215*$F$23/$F$26*$F$25</f>
        <v>2.4541666666666666</v>
      </c>
      <c r="H215" s="20">
        <f t="shared" ref="H215:H225" si="129">2^(G215/$B$21)</f>
        <v>1.1854350885855089</v>
      </c>
    </row>
    <row r="216" spans="1:36">
      <c r="A216" t="str">
        <f>+$Z$21</f>
        <v>Salt Lake City, UT</v>
      </c>
      <c r="B216" s="44">
        <f>$AB$25</f>
        <v>0.69345121301617307</v>
      </c>
      <c r="C216" s="13">
        <f t="shared" si="127"/>
        <v>0.85167310639397598</v>
      </c>
      <c r="D216" s="36">
        <f>$D$117+((C216-$C$117)/($C$86-$C$117)*($D$86-$D$117))</f>
        <v>0.81576159604864318</v>
      </c>
      <c r="E216" s="13">
        <f>E105</f>
        <v>0.81576159604864318</v>
      </c>
      <c r="F216">
        <v>7.5</v>
      </c>
      <c r="G216" s="44">
        <f t="shared" si="128"/>
        <v>2.4541666666666666</v>
      </c>
      <c r="H216" s="20">
        <f t="shared" si="129"/>
        <v>1.1854350885855089</v>
      </c>
      <c r="J216" s="7" t="s">
        <v>270</v>
      </c>
      <c r="K216">
        <v>99301</v>
      </c>
      <c r="N216">
        <v>99301</v>
      </c>
      <c r="Q216">
        <v>99301</v>
      </c>
      <c r="T216">
        <v>99301</v>
      </c>
      <c r="W216">
        <v>99301</v>
      </c>
      <c r="Z216">
        <v>99301</v>
      </c>
      <c r="AC216">
        <v>99301</v>
      </c>
      <c r="AF216">
        <v>99301</v>
      </c>
      <c r="AI216">
        <v>99301</v>
      </c>
    </row>
    <row r="217" spans="1:36">
      <c r="A217" t="str">
        <f>+$AF$121</f>
        <v>San Antonio, TX</v>
      </c>
      <c r="B217" s="44">
        <f>$AH$125</f>
        <v>1.1141395811205461</v>
      </c>
      <c r="C217" s="13">
        <f t="shared" si="127"/>
        <v>1.3683481984006396</v>
      </c>
      <c r="D217" s="36">
        <f>$D$86+((C217-$C$86)/($C$43-$C$86)*($D$43-$D$86))</f>
        <v>1.1045717910685082</v>
      </c>
      <c r="E217" s="13">
        <f>E56</f>
        <v>1.2315133785605759</v>
      </c>
      <c r="F217">
        <v>6.5</v>
      </c>
      <c r="G217" s="44">
        <f t="shared" si="128"/>
        <v>2.1269444444444443</v>
      </c>
      <c r="H217" s="20">
        <f t="shared" si="129"/>
        <v>1.1588504872049772</v>
      </c>
    </row>
    <row r="218" spans="1:36">
      <c r="A218" t="str">
        <f>+$N$41</f>
        <v>San Diego, CA</v>
      </c>
      <c r="B218" s="44">
        <f>$P$45</f>
        <v>0.78844309448497085</v>
      </c>
      <c r="C218" s="13">
        <f t="shared" si="127"/>
        <v>0.96833889232699799</v>
      </c>
      <c r="D218" s="36">
        <f>$D$117+((C218-$C$117)/($C$86-$C$117)*($D$86-$D$117))</f>
        <v>0.88201889682399837</v>
      </c>
      <c r="E218" s="13">
        <f>E89</f>
        <v>0.88201889682399837</v>
      </c>
      <c r="F218">
        <v>7.5</v>
      </c>
      <c r="G218" s="44">
        <f t="shared" si="128"/>
        <v>2.4541666666666666</v>
      </c>
      <c r="H218" s="20">
        <f t="shared" si="129"/>
        <v>1.1854350885855089</v>
      </c>
      <c r="J218" s="7" t="s">
        <v>271</v>
      </c>
      <c r="K218" s="50">
        <f>((K214/K216)-1)</f>
        <v>6.4450509058318062E-3</v>
      </c>
      <c r="N218" s="50">
        <f>((N214/N216)-1)</f>
        <v>-3.7562562310550218E-3</v>
      </c>
      <c r="Q218" s="50">
        <f>((Q214/Q216)-1)</f>
        <v>1.1178135164801928E-2</v>
      </c>
      <c r="T218" s="50">
        <f>((T214/T216)-1)</f>
        <v>-1.4702772378928364E-3</v>
      </c>
      <c r="W218" s="50">
        <f>((W214/W216)-1)</f>
        <v>-2.1752046807181902E-3</v>
      </c>
      <c r="Z218" s="50">
        <f>((Z214/Z216)-1)</f>
        <v>-1</v>
      </c>
      <c r="AC218" s="50">
        <f>((AC214/AC216)-1)</f>
        <v>-1</v>
      </c>
      <c r="AF218" s="50">
        <f>((AF214/AF216)-1)</f>
        <v>-1</v>
      </c>
      <c r="AI218" s="50">
        <f>((AI214/AI216)-1)</f>
        <v>-1</v>
      </c>
    </row>
    <row r="219" spans="1:36">
      <c r="A219" t="str">
        <f>+$N$1</f>
        <v>San Francisco, CA</v>
      </c>
      <c r="B219" s="44">
        <f>$P$5</f>
        <v>0.61646105558895725</v>
      </c>
      <c r="C219" s="13">
        <f t="shared" si="127"/>
        <v>0.75711642337571594</v>
      </c>
      <c r="D219" s="36">
        <f>$D$117+((C219-$C$117)/($C$86-$C$117)*($D$86-$D$117))</f>
        <v>0.76206058561995116</v>
      </c>
      <c r="E219" s="13">
        <f>E116</f>
        <v>0.76206058561995116</v>
      </c>
      <c r="F219">
        <v>7.5</v>
      </c>
      <c r="G219" s="44">
        <f t="shared" si="128"/>
        <v>2.4541666666666666</v>
      </c>
      <c r="H219" s="20">
        <f t="shared" si="129"/>
        <v>1.1854350885855089</v>
      </c>
    </row>
    <row r="220" spans="1:36">
      <c r="A220" t="str">
        <f>+$T$61</f>
        <v>San Jose, CA</v>
      </c>
      <c r="B220" s="44">
        <f>$V$65</f>
        <v>0.73139973662800661</v>
      </c>
      <c r="C220" s="13">
        <f t="shared" si="127"/>
        <v>0.89828018758571604</v>
      </c>
      <c r="D220" s="36">
        <f>$D$117+((C220-$C$117)/($C$86-$C$117)*($D$86-$D$117))</f>
        <v>0.84223087641294281</v>
      </c>
      <c r="E220" s="13">
        <f>E100</f>
        <v>0.84223087641294281</v>
      </c>
      <c r="F220">
        <v>7.5</v>
      </c>
      <c r="G220" s="44">
        <f t="shared" si="128"/>
        <v>2.4541666666666666</v>
      </c>
      <c r="H220" s="20">
        <f t="shared" si="129"/>
        <v>1.1854350885855089</v>
      </c>
    </row>
    <row r="221" spans="1:36">
      <c r="A221" t="str">
        <f>+$K$141</f>
        <v>San Juan, Puerto Rico</v>
      </c>
      <c r="B221" s="44">
        <f>$M$145</f>
        <v>1.5240387056599003</v>
      </c>
      <c r="C221" s="13">
        <f t="shared" si="127"/>
        <v>1.8717723097900894</v>
      </c>
      <c r="D221" s="36">
        <f>$C$42/$C$43*$D$43</f>
        <v>1.395871438943858</v>
      </c>
      <c r="E221" s="13">
        <f>E42</f>
        <v>1.6845950788110806</v>
      </c>
      <c r="F221">
        <v>7.1</v>
      </c>
      <c r="G221" s="44">
        <f t="shared" si="128"/>
        <v>2.3232777777777778</v>
      </c>
      <c r="H221" s="20">
        <f t="shared" si="129"/>
        <v>1.1747288372240123</v>
      </c>
      <c r="J221" s="7"/>
      <c r="K221" s="7" t="s">
        <v>209</v>
      </c>
      <c r="L221" s="7"/>
      <c r="M221" s="7"/>
      <c r="N221" s="7" t="s">
        <v>209</v>
      </c>
      <c r="O221" s="7"/>
      <c r="P221" s="7"/>
      <c r="Q221" s="7" t="s">
        <v>209</v>
      </c>
      <c r="R221" s="7"/>
      <c r="S221" s="7"/>
      <c r="T221" s="7" t="s">
        <v>209</v>
      </c>
      <c r="U221" s="7"/>
      <c r="V221" s="7"/>
      <c r="W221" s="7" t="s">
        <v>209</v>
      </c>
      <c r="X221" s="7"/>
      <c r="Y221" s="7"/>
    </row>
    <row r="222" spans="1:36">
      <c r="A222" t="str">
        <f>+$W$181</f>
        <v>Santa Ana, CA</v>
      </c>
      <c r="B222" s="44">
        <f>$Y$185</f>
        <v>0.79263111774295036</v>
      </c>
      <c r="C222" s="13">
        <f t="shared" si="127"/>
        <v>0.97348247951932509</v>
      </c>
      <c r="D222" s="36">
        <f>$D$117+((C222-$C$117)/($C$86-$C$117)*($D$86-$D$117))</f>
        <v>0.88494006347916432</v>
      </c>
      <c r="E222" s="13">
        <f>E88</f>
        <v>0.88494006347916432</v>
      </c>
      <c r="F222">
        <v>7.5</v>
      </c>
      <c r="G222" s="44">
        <f t="shared" si="128"/>
        <v>2.4541666666666666</v>
      </c>
      <c r="H222" s="20">
        <f t="shared" si="129"/>
        <v>1.1854350885855089</v>
      </c>
    </row>
    <row r="223" spans="1:36">
      <c r="A223" t="str">
        <f>+$T$41</f>
        <v>Santa Clara, CA</v>
      </c>
      <c r="B223" s="44">
        <f>$V$45</f>
        <v>0.73168582714276409</v>
      </c>
      <c r="C223" s="13">
        <f t="shared" si="127"/>
        <v>0.89863155418922014</v>
      </c>
      <c r="D223" s="36">
        <f>$D$117+((C223-$C$117)/($C$86-$C$117)*($D$86-$D$117))</f>
        <v>0.84243042594277795</v>
      </c>
      <c r="E223" s="13">
        <f>E99</f>
        <v>0.84243042594277795</v>
      </c>
      <c r="F223">
        <v>7.5</v>
      </c>
      <c r="G223" s="44">
        <f t="shared" si="128"/>
        <v>2.4541666666666666</v>
      </c>
      <c r="H223" s="20">
        <f t="shared" si="129"/>
        <v>1.1854350885855089</v>
      </c>
      <c r="J223" s="7" t="s">
        <v>260</v>
      </c>
      <c r="K223" t="s">
        <v>261</v>
      </c>
      <c r="L223" t="s">
        <v>54</v>
      </c>
      <c r="N223" t="s">
        <v>261</v>
      </c>
      <c r="O223" t="s">
        <v>54</v>
      </c>
      <c r="Q223" t="s">
        <v>261</v>
      </c>
      <c r="R223" t="s">
        <v>54</v>
      </c>
      <c r="T223" t="s">
        <v>261</v>
      </c>
      <c r="U223" t="s">
        <v>54</v>
      </c>
      <c r="W223" t="s">
        <v>261</v>
      </c>
      <c r="X223" t="s">
        <v>54</v>
      </c>
    </row>
    <row r="224" spans="1:36">
      <c r="A224" t="str">
        <f>+$B$1</f>
        <v>Santa Monica, CA</v>
      </c>
      <c r="B224" s="44">
        <f>$D$5</f>
        <v>0.75914059182683902</v>
      </c>
      <c r="C224" s="13">
        <f t="shared" si="127"/>
        <v>0.93235055890780649</v>
      </c>
      <c r="D224" s="36">
        <f>$D$117+((C224-$C$117)/($C$86-$C$117)*($D$86-$D$117))</f>
        <v>0.86158025825752027</v>
      </c>
      <c r="E224" s="13">
        <f>E96</f>
        <v>0.86158025825752027</v>
      </c>
      <c r="F224">
        <v>7.5</v>
      </c>
      <c r="G224" s="44">
        <f t="shared" si="128"/>
        <v>2.4541666666666666</v>
      </c>
      <c r="H224" s="20">
        <f t="shared" si="129"/>
        <v>1.1854350885855089</v>
      </c>
    </row>
    <row r="225" spans="1:24">
      <c r="A225" t="str">
        <f>+$W$41</f>
        <v>Seattle, WA</v>
      </c>
      <c r="B225" s="44">
        <f>$Y$45</f>
        <v>0.55765371349331938</v>
      </c>
      <c r="C225" s="13">
        <f t="shared" si="127"/>
        <v>0.68489125341239365</v>
      </c>
      <c r="D225" s="36">
        <f>$D$138+((C225-$C$138)/($C$117-$C$138)*($D$117-$D$138))</f>
        <v>0.71790831336610927</v>
      </c>
      <c r="E225" s="13">
        <f>E123</f>
        <v>0.71790831336610927</v>
      </c>
      <c r="F225">
        <v>4.5</v>
      </c>
      <c r="G225" s="44">
        <f t="shared" si="128"/>
        <v>1.4724999999999999</v>
      </c>
      <c r="H225" s="20">
        <f t="shared" si="129"/>
        <v>1.1074564754411067</v>
      </c>
      <c r="J225" s="7" t="s">
        <v>262</v>
      </c>
      <c r="L225" s="44"/>
      <c r="O225" s="44"/>
      <c r="R225" s="44"/>
      <c r="U225" s="44"/>
      <c r="X225" s="44"/>
    </row>
    <row r="226" spans="1:24">
      <c r="A226" t="str">
        <f>+$Z$181</f>
        <v>Sevilla, Spain</v>
      </c>
      <c r="B226" s="44">
        <f>$AB$185</f>
        <v>0.96466532292374152</v>
      </c>
      <c r="C226" s="13">
        <f t="shared" si="127"/>
        <v>1.1847690173206886</v>
      </c>
      <c r="D226" s="36">
        <f>$D$86+((C226-$C$86)/($C$43-$C$86)*($D$43-$D$86))</f>
        <v>1.0026162988481604</v>
      </c>
      <c r="E226" s="13">
        <f>E65</f>
        <v>1.0662921155886198</v>
      </c>
      <c r="F226">
        <v>0</v>
      </c>
      <c r="G226" s="44">
        <v>0</v>
      </c>
      <c r="H226" s="20">
        <v>1</v>
      </c>
      <c r="J226" s="7" t="s">
        <v>263</v>
      </c>
      <c r="L226" s="44"/>
      <c r="O226" s="44"/>
      <c r="R226" s="44"/>
      <c r="U226" s="44"/>
      <c r="X226" s="44"/>
    </row>
    <row r="227" spans="1:24">
      <c r="A227" t="str">
        <f>+$Z$161</f>
        <v>Shannon, Ireland</v>
      </c>
      <c r="B227" s="44">
        <f>$AB$165</f>
        <v>0.49632901571151167</v>
      </c>
      <c r="C227" s="13">
        <f t="shared" si="127"/>
        <v>0.6095743531342398</v>
      </c>
      <c r="D227" s="36">
        <f>$D$138+((C227-$C$138)/($C$117-$C$138)*($D$117-$D$138))</f>
        <v>0.67050493341144612</v>
      </c>
      <c r="E227" s="13">
        <f>E132</f>
        <v>0.67050493341144612</v>
      </c>
      <c r="F227">
        <v>0</v>
      </c>
      <c r="G227" s="44">
        <v>0</v>
      </c>
      <c r="H227" s="20">
        <v>1</v>
      </c>
      <c r="J227" s="7" t="s">
        <v>264</v>
      </c>
      <c r="L227" s="44"/>
      <c r="O227" s="44"/>
      <c r="R227" s="44"/>
      <c r="U227" s="44"/>
      <c r="X227" s="44"/>
    </row>
    <row r="228" spans="1:24">
      <c r="A228" t="str">
        <f>+$AC$61</f>
        <v>Sydney, Australia</v>
      </c>
      <c r="B228" s="44">
        <f>$AE$65</f>
        <v>0.84097485544256112</v>
      </c>
      <c r="C228" s="13">
        <f t="shared" si="127"/>
        <v>1.0328566077759336</v>
      </c>
      <c r="D228" s="36">
        <f>$D$86+((C228-$C$86)/($C$43-$C$86)*($D$43-$D$86))</f>
        <v>0.91824777514955414</v>
      </c>
      <c r="E228" s="13">
        <f>E81</f>
        <v>0.92957094699834031</v>
      </c>
      <c r="F228">
        <v>0</v>
      </c>
      <c r="G228" s="44">
        <v>0</v>
      </c>
      <c r="H228" s="20">
        <v>1</v>
      </c>
      <c r="J228" s="7" t="s">
        <v>265</v>
      </c>
      <c r="L228" s="44"/>
      <c r="O228" s="44"/>
      <c r="R228" s="44"/>
      <c r="U228" s="44"/>
      <c r="X228" s="44"/>
    </row>
    <row r="229" spans="1:24">
      <c r="A229" t="str">
        <f>+$AI$141</f>
        <v>Syracuse, NY</v>
      </c>
      <c r="B229" s="44">
        <f>$AK$145</f>
        <v>0.55888090338578356</v>
      </c>
      <c r="C229" s="13">
        <f t="shared" si="127"/>
        <v>0.68639844614381063</v>
      </c>
      <c r="D229" s="36">
        <f>$D$138+((C229-$C$138)/($C$117-$C$138)*($D$117-$D$138))</f>
        <v>0.71885691891743186</v>
      </c>
      <c r="E229" s="13">
        <f>E122</f>
        <v>0.71885691891743186</v>
      </c>
      <c r="F229">
        <v>5.5</v>
      </c>
      <c r="G229" s="44">
        <f>F229*$F$23/$F$26*$F$25</f>
        <v>1.7997222222222222</v>
      </c>
      <c r="H229" s="20">
        <f>2^(G229/$B$21)</f>
        <v>1.1328620728593721</v>
      </c>
      <c r="J229" s="7" t="s">
        <v>266</v>
      </c>
      <c r="L229" s="44"/>
      <c r="O229" s="44"/>
      <c r="R229" s="44"/>
      <c r="U229" s="44"/>
      <c r="X229" s="44"/>
    </row>
    <row r="230" spans="1:24">
      <c r="A230" t="str">
        <f>+$AF$101</f>
        <v>Toronto, Canada</v>
      </c>
      <c r="B230" s="44">
        <f>$AH$105</f>
        <v>0.51834407869369714</v>
      </c>
      <c r="C230" s="13">
        <f t="shared" si="127"/>
        <v>0.63661250192620045</v>
      </c>
      <c r="D230" s="36">
        <f>$D$138+((C230-$C$138)/($C$117-$C$138)*($D$117-$D$138))</f>
        <v>0.68752235759808378</v>
      </c>
      <c r="E230" s="13">
        <f>E127</f>
        <v>0.68752235759808378</v>
      </c>
      <c r="F230">
        <v>0</v>
      </c>
      <c r="G230" s="44">
        <v>0</v>
      </c>
      <c r="H230" s="20">
        <v>1</v>
      </c>
      <c r="J230" s="7" t="s">
        <v>267</v>
      </c>
      <c r="L230" s="44"/>
      <c r="O230" s="44"/>
      <c r="R230" s="44"/>
      <c r="U230" s="44"/>
      <c r="X230" s="44"/>
    </row>
    <row r="231" spans="1:24">
      <c r="A231" t="str">
        <f>$Q$121</f>
        <v>Tucson, AZ</v>
      </c>
      <c r="B231" s="44">
        <f>$S$125</f>
        <v>1.1817089567138814</v>
      </c>
      <c r="C231" s="13">
        <f t="shared" si="127"/>
        <v>1.4513345987825437</v>
      </c>
      <c r="D231" s="36">
        <f>$D$86+((C231-$C$86)/($C$43-$C$86)*($D$43-$D$86))</f>
        <v>1.1506604556368889</v>
      </c>
      <c r="E231" s="13">
        <f>E52</f>
        <v>1.3062011389042896</v>
      </c>
      <c r="F231">
        <v>9</v>
      </c>
      <c r="G231" s="44">
        <f>F231*$F$23/$F$26*$F$25</f>
        <v>2.9449999999999998</v>
      </c>
      <c r="H231" s="20">
        <f>2^(G231/$B$21)</f>
        <v>1.2264598449964383</v>
      </c>
      <c r="J231" s="7" t="s">
        <v>268</v>
      </c>
      <c r="L231" s="44"/>
      <c r="O231" s="44"/>
      <c r="R231" s="44"/>
      <c r="U231" s="44"/>
      <c r="X231" s="44"/>
    </row>
    <row r="232" spans="1:24">
      <c r="A232" t="str">
        <f>+$AI$161</f>
        <v>Tulsa, OK</v>
      </c>
      <c r="B232" s="44">
        <f>$AK$165</f>
        <v>0.88257694641296713</v>
      </c>
      <c r="C232" s="13">
        <f t="shared" si="127"/>
        <v>1.083950875669909</v>
      </c>
      <c r="D232" s="36">
        <f>$D$86+((C232-$C$86)/($C$43-$C$86)*($D$43-$D$86))</f>
        <v>0.94662431110599154</v>
      </c>
      <c r="E232" s="13">
        <f>E75</f>
        <v>0.97555578810291799</v>
      </c>
      <c r="F232">
        <v>6.5</v>
      </c>
      <c r="G232" s="44">
        <f>F232*$F$23/$F$26*$F$25</f>
        <v>2.1269444444444443</v>
      </c>
      <c r="H232" s="20">
        <f>2^(G232/$B$21)</f>
        <v>1.1588504872049772</v>
      </c>
      <c r="J232" s="7" t="s">
        <v>269</v>
      </c>
      <c r="L232" s="44"/>
      <c r="O232" s="44"/>
      <c r="R232" s="44"/>
      <c r="U232" s="44"/>
      <c r="X232" s="44"/>
    </row>
    <row r="233" spans="1:24">
      <c r="A233" t="str">
        <f>+$AF$181</f>
        <v>Tyler, TX</v>
      </c>
      <c r="B233" s="44">
        <f>$AH$185</f>
        <v>1.0145555738581931</v>
      </c>
      <c r="C233" s="13">
        <f t="shared" si="127"/>
        <v>1.246042520336579</v>
      </c>
      <c r="D233" s="36">
        <f>$D$86+((C233-$C$86)/($C$43-$C$86)*($D$43-$D$86))</f>
        <v>1.036646138851256</v>
      </c>
      <c r="E233" s="13">
        <f>E62</f>
        <v>1.1214382683029211</v>
      </c>
      <c r="F233">
        <v>6.5</v>
      </c>
      <c r="G233" s="44">
        <f>F233*$F$23/$F$26*$F$25</f>
        <v>2.1269444444444443</v>
      </c>
      <c r="H233" s="20">
        <f>2^(G233/$B$21)</f>
        <v>1.1588504872049772</v>
      </c>
    </row>
    <row r="234" spans="1:24">
      <c r="A234" t="str">
        <f>+$AC$41</f>
        <v>Van Nuys, CA</v>
      </c>
      <c r="B234" s="44">
        <f>$AE$45</f>
        <v>0.89192389497425428</v>
      </c>
      <c r="C234" s="13">
        <f t="shared" si="127"/>
        <v>1.095430478801428</v>
      </c>
      <c r="D234" s="36">
        <f>$D$86+((C234-$C$86)/($C$43-$C$86)*($D$43-$D$86))</f>
        <v>0.95299980848474142</v>
      </c>
      <c r="E234" s="13">
        <f>E72</f>
        <v>0.98588743092128528</v>
      </c>
      <c r="F234">
        <v>7.5</v>
      </c>
      <c r="G234" s="44">
        <f>F234*$F$23/$F$26*$F$25</f>
        <v>2.4541666666666666</v>
      </c>
      <c r="H234" s="20">
        <f>2^(G234/$B$21)</f>
        <v>1.1854350885855089</v>
      </c>
      <c r="K234">
        <f>SUM(K225:K232)</f>
        <v>0</v>
      </c>
      <c r="L234">
        <f>SUM(L225:L232)</f>
        <v>0</v>
      </c>
      <c r="N234">
        <f>SUM(N225:N232)</f>
        <v>0</v>
      </c>
      <c r="O234">
        <f>SUM(O225:O232)</f>
        <v>0</v>
      </c>
      <c r="Q234">
        <f>SUM(Q225:Q232)</f>
        <v>0</v>
      </c>
      <c r="R234">
        <f>SUM(R225:R232)</f>
        <v>0</v>
      </c>
      <c r="T234">
        <f>SUM(T225:T232)</f>
        <v>0</v>
      </c>
      <c r="U234">
        <f>SUM(U225:U232)</f>
        <v>0</v>
      </c>
      <c r="W234">
        <f>SUM(W225:W232)</f>
        <v>0</v>
      </c>
      <c r="X234">
        <f>SUM(X225:X232)</f>
        <v>0</v>
      </c>
    </row>
    <row r="235" spans="1:24">
      <c r="A235" t="str">
        <f>+$Q$61</f>
        <v>Vancouver, BC</v>
      </c>
      <c r="B235" s="44">
        <f>$S$65</f>
        <v>0.50180572932116385</v>
      </c>
      <c r="C235" s="13">
        <f t="shared" si="127"/>
        <v>0.61630066582244591</v>
      </c>
      <c r="D235" s="36">
        <f>$D$138+((C235-$C$138)/($C$117-$C$138)*($D$117-$D$138))</f>
        <v>0.67473837842677942</v>
      </c>
      <c r="E235" s="13">
        <f>E131</f>
        <v>0.67473837842677942</v>
      </c>
      <c r="F235">
        <v>0</v>
      </c>
      <c r="G235" s="44">
        <v>0</v>
      </c>
      <c r="H235" s="20">
        <v>1</v>
      </c>
    </row>
    <row r="236" spans="1:24">
      <c r="A236" t="str">
        <f>+$N$141</f>
        <v>Vienna, Austria</v>
      </c>
      <c r="B236" s="44">
        <f>$P$145</f>
        <v>0.55127196077696727</v>
      </c>
      <c r="C236" s="13">
        <f t="shared" si="127"/>
        <v>0.67705340259007918</v>
      </c>
      <c r="D236" s="36">
        <f>$D$138+((C236-$C$138)/($C$117-$C$138)*($D$117-$D$138))</f>
        <v>0.7129752821448827</v>
      </c>
      <c r="E236" s="13">
        <f>E126</f>
        <v>0.7129752821448827</v>
      </c>
      <c r="F236">
        <v>0</v>
      </c>
      <c r="G236" s="44">
        <v>0</v>
      </c>
      <c r="H236" s="20">
        <v>1</v>
      </c>
      <c r="J236" s="7" t="s">
        <v>270</v>
      </c>
      <c r="K236">
        <v>99301</v>
      </c>
      <c r="N236">
        <v>99301</v>
      </c>
      <c r="Q236">
        <v>99301</v>
      </c>
      <c r="T236">
        <v>99301</v>
      </c>
      <c r="W236">
        <v>99301</v>
      </c>
    </row>
    <row r="237" spans="1:24">
      <c r="A237" t="str">
        <f>+$Q$181</f>
        <v>Visalia, CA</v>
      </c>
      <c r="B237" s="44">
        <f>$S$185</f>
        <v>0.8874808303945726</v>
      </c>
      <c r="C237" s="13">
        <f t="shared" si="127"/>
        <v>1.0899736585645323</v>
      </c>
      <c r="D237" s="36">
        <f>$D$86+((C237-$C$86)/($C$43-$C$86)*($D$43-$D$86))</f>
        <v>0.94996922086615765</v>
      </c>
      <c r="E237" s="13">
        <f>E74</f>
        <v>0.98097629270807896</v>
      </c>
      <c r="F237">
        <v>7.5</v>
      </c>
      <c r="G237" s="44">
        <f>F237*$F$23/$F$26*$F$25</f>
        <v>2.4541666666666666</v>
      </c>
      <c r="H237" s="20">
        <f>2^(G237/$B$21)</f>
        <v>1.1854350885855089</v>
      </c>
    </row>
    <row r="238" spans="1:24">
      <c r="A238" t="str">
        <f>+$Q$201</f>
        <v>Warsaw, Poland</v>
      </c>
      <c r="B238" s="44">
        <f>$S$205</f>
        <v>0.48850723282988973</v>
      </c>
      <c r="C238" s="13">
        <f t="shared" si="127"/>
        <v>0.59996790642351083</v>
      </c>
      <c r="D238" s="36">
        <f>$D$138+((C238-$C$138)/($C$117-$C$138)*($D$117-$D$138))</f>
        <v>0.66445877323011704</v>
      </c>
      <c r="E238" s="13">
        <f>E134</f>
        <v>0.66445877323011704</v>
      </c>
      <c r="F238">
        <v>0</v>
      </c>
      <c r="G238" s="44">
        <v>0</v>
      </c>
      <c r="H238" s="20">
        <v>1</v>
      </c>
      <c r="J238" s="7" t="s">
        <v>271</v>
      </c>
      <c r="K238" s="50">
        <f>((K234/K236)-1)</f>
        <v>-1</v>
      </c>
      <c r="N238" s="50">
        <f>((N234/N236)-1)</f>
        <v>-1</v>
      </c>
      <c r="Q238" s="50">
        <f>((Q234/Q236)-1)</f>
        <v>-1</v>
      </c>
      <c r="T238" s="50">
        <f>((T234/T236)-1)</f>
        <v>-1</v>
      </c>
      <c r="W238" s="50">
        <f>((W234/W236)-1)</f>
        <v>-1</v>
      </c>
    </row>
    <row r="239" spans="1:24">
      <c r="A239" t="str">
        <f>+$N$61</f>
        <v>Washington DC</v>
      </c>
      <c r="B239" s="44">
        <f>$P$65</f>
        <v>0.78628404121033668</v>
      </c>
      <c r="C239" s="13">
        <f t="shared" si="127"/>
        <v>0.9656872168020828</v>
      </c>
      <c r="D239" s="36">
        <f>$D$117+((C239-$C$117)/($C$86-$C$117)*($D$86-$D$117))</f>
        <v>0.88051294663125013</v>
      </c>
      <c r="E239" s="13">
        <f>E91</f>
        <v>0.88051294663125013</v>
      </c>
      <c r="F239">
        <v>5.5</v>
      </c>
      <c r="G239" s="44">
        <f>F239*$F$23/$F$26*$F$25</f>
        <v>1.7997222222222222</v>
      </c>
      <c r="H239" s="20">
        <f>2^(G239/$B$21)</f>
        <v>1.1328620728593721</v>
      </c>
    </row>
    <row r="240" spans="1:24">
      <c r="A240" t="str">
        <f>+$N$181</f>
        <v>Waxahachie, TX</v>
      </c>
      <c r="B240" s="44">
        <f>$P$185</f>
        <v>1.0185489335119595</v>
      </c>
      <c r="C240" s="13">
        <f t="shared" si="127"/>
        <v>1.2509470283357484</v>
      </c>
      <c r="D240" s="36">
        <f>$D$86+((C240-$C$86)/($C$43-$C$86)*($D$43-$D$86))</f>
        <v>1.0393699854454741</v>
      </c>
      <c r="E240" s="13">
        <f>E61</f>
        <v>1.1258523255021737</v>
      </c>
      <c r="F240">
        <v>7</v>
      </c>
      <c r="G240" s="44">
        <f>F240*$F$23/$F$26*$F$25</f>
        <v>2.2905555555555552</v>
      </c>
      <c r="H240" s="20">
        <f>2^(G240/$B$21)</f>
        <v>1.1720674169847023</v>
      </c>
    </row>
    <row r="241" spans="1:8">
      <c r="A241" t="str">
        <f>+$K$61</f>
        <v>Winchester, VA</v>
      </c>
      <c r="B241" s="44">
        <f>$M$65</f>
        <v>0.71658691895615689</v>
      </c>
      <c r="C241" s="13">
        <f t="shared" ref="C241:C242" si="130">B241/$F$32</f>
        <v>0.88008759060955699</v>
      </c>
      <c r="D241" s="36">
        <f>$D$117+((C241-$C$117)/($C$86-$C$117)*($D$86-$D$117))</f>
        <v>0.83189886381735456</v>
      </c>
      <c r="E241" s="13">
        <f>E102</f>
        <v>0.83189886381735456</v>
      </c>
      <c r="F241">
        <v>6.5</v>
      </c>
      <c r="G241" s="44">
        <f>F241*$F$23/$F$26*$F$25</f>
        <v>2.1269444444444443</v>
      </c>
      <c r="H241" s="20">
        <f>2^(G241/$B$21)</f>
        <v>1.1588504872049772</v>
      </c>
    </row>
    <row r="242" spans="1:8">
      <c r="A242" t="str">
        <f>+$AI$181</f>
        <v>Witchita Falls, TX</v>
      </c>
      <c r="B242" s="44">
        <f>$AK$185</f>
        <v>1.0724912728957461</v>
      </c>
      <c r="C242" s="13">
        <f t="shared" si="130"/>
        <v>1.3171971680526087</v>
      </c>
      <c r="D242" s="36">
        <f>$D$86+((C242-$C$86)/($C$43-$C$86)*($D$43-$D$86))</f>
        <v>1.0761637306009098</v>
      </c>
      <c r="E242" s="13">
        <f>E60</f>
        <v>1.1854774512473478</v>
      </c>
      <c r="F242">
        <v>7.5</v>
      </c>
      <c r="G242" s="44">
        <f>F242*$F$23/$F$26*$F$25</f>
        <v>2.4541666666666666</v>
      </c>
      <c r="H242" s="20">
        <f>2^(G242/$B$21)</f>
        <v>1.1854350885855089</v>
      </c>
    </row>
  </sheetData>
  <conditionalFormatting sqref="H41 H47 H65 H81 H87 H94 H98 H108 H110 H121 H125:H127 H129 H131:H132 H134 H136:H137 H145:H161 H163:H242">
    <cfRule type="cellIs" dxfId="0" priority="15" stopIfTrue="1" operator="equal">
      <formula>1</formula>
    </cfRule>
  </conditionalFormatting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18"/>
  <sheetViews>
    <sheetView workbookViewId="0"/>
  </sheetViews>
  <sheetFormatPr defaultRowHeight="14.25"/>
  <cols>
    <col min="1" max="2" width="13.5" customWidth="1"/>
    <col min="3" max="3" width="13.75" customWidth="1"/>
    <col min="4" max="4" width="12.875" customWidth="1"/>
    <col min="5" max="5" width="13.125" customWidth="1"/>
    <col min="6" max="6" width="12.625" customWidth="1"/>
    <col min="7" max="11" width="10.75" customWidth="1"/>
    <col min="12" max="12" width="17.875" customWidth="1"/>
  </cols>
  <sheetData>
    <row r="1" spans="1:9">
      <c r="A1" s="28" t="s">
        <v>290</v>
      </c>
      <c r="B1" s="28"/>
      <c r="C1" s="28"/>
    </row>
    <row r="5" spans="1:9">
      <c r="A5" s="7"/>
      <c r="B5" s="7"/>
      <c r="C5" s="7"/>
      <c r="D5" s="8" t="s">
        <v>2</v>
      </c>
      <c r="E5" s="8" t="s">
        <v>3</v>
      </c>
      <c r="F5" s="8" t="s">
        <v>4</v>
      </c>
      <c r="G5" s="7"/>
      <c r="H5" s="8" t="s">
        <v>6</v>
      </c>
      <c r="I5" s="7"/>
    </row>
    <row r="6" spans="1:9">
      <c r="A6" s="8" t="s">
        <v>42</v>
      </c>
      <c r="B6" s="8" t="s">
        <v>9</v>
      </c>
      <c r="C6" s="8" t="s">
        <v>10</v>
      </c>
      <c r="D6" s="8" t="s">
        <v>10</v>
      </c>
      <c r="E6" s="8" t="s">
        <v>11</v>
      </c>
      <c r="F6" s="8" t="s">
        <v>10</v>
      </c>
      <c r="G6" s="8" t="s">
        <v>12</v>
      </c>
      <c r="H6" s="8" t="s">
        <v>52</v>
      </c>
      <c r="I6" s="8" t="s">
        <v>42</v>
      </c>
    </row>
    <row r="7" spans="1:9">
      <c r="A7" s="8"/>
      <c r="B7" s="8"/>
      <c r="C7" s="8"/>
      <c r="D7" s="7"/>
      <c r="E7" s="8"/>
      <c r="F7" s="8"/>
      <c r="G7" s="8"/>
      <c r="H7" s="8"/>
      <c r="I7" s="8"/>
    </row>
    <row r="8" spans="1:9">
      <c r="A8" s="36">
        <f t="shared" ref="A8:A39" si="0">A9+0.1</f>
        <v>25.000000000000071</v>
      </c>
      <c r="B8" s="51">
        <f>(Prediction!$O$9*Calibration!$B$49*SQRT(I8+Prediction!$F$7-Prediction!$F$9))-((0.32989795*(I8+Prediction!$F$7-Prediction!$F$9)-1.302))</f>
        <v>27.123170730187844</v>
      </c>
      <c r="C8" s="51">
        <f>I8*Calibration!$B$50*Prediction!$O$9*Prediction!$B$18/12500*'Degradation Model'!$B$26/Prediction!$B$8</f>
        <v>30.145096622247838</v>
      </c>
      <c r="D8" s="51">
        <f t="shared" ref="D8:D71" si="1">D9+($C$257*100/H9)</f>
        <v>100.31530524257714</v>
      </c>
      <c r="E8" s="51">
        <f>((Prediction!$O$10-1)*F8*Prediction!$B$10/7)</f>
        <v>13.503751474978245</v>
      </c>
      <c r="F8" s="51">
        <f t="shared" ref="F8:F71" si="2">B8+D8</f>
        <v>127.43847597276499</v>
      </c>
      <c r="G8" s="51">
        <f t="shared" ref="G8:G71" si="3">F8+E8</f>
        <v>140.94222744774322</v>
      </c>
      <c r="H8" s="51">
        <f t="shared" ref="H8:H71" si="4">IF(100-G8&lt;10,10,100-G8)</f>
        <v>10</v>
      </c>
      <c r="I8" s="36">
        <f t="shared" ref="I8:I39" si="5">I9+0.1</f>
        <v>25.000000000000071</v>
      </c>
    </row>
    <row r="9" spans="1:9">
      <c r="A9" s="36">
        <f t="shared" si="0"/>
        <v>24.90000000000007</v>
      </c>
      <c r="B9" s="51">
        <f>(Prediction!$O$9*Calibration!$B$49*SQRT(I9+Prediction!$F$7-Prediction!$F$9))-((0.32989795*(I9+Prediction!$F$7-Prediction!$F$9)-1.302))</f>
        <v>27.088281943206447</v>
      </c>
      <c r="C9" s="51">
        <f>I9*Calibration!$B$50*Prediction!$O$9*Prediction!$B$18/12500*'Degradation Model'!$B$26/Prediction!$B$8</f>
        <v>30.024516235758842</v>
      </c>
      <c r="D9" s="51">
        <f t="shared" si="1"/>
        <v>99.109501377687408</v>
      </c>
      <c r="E9" s="51">
        <f>((Prediction!$O$10-1)*F9*Prediction!$B$10/7)</f>
        <v>13.372284073945607</v>
      </c>
      <c r="F9" s="51">
        <f t="shared" si="2"/>
        <v>126.19778332089385</v>
      </c>
      <c r="G9" s="51">
        <f t="shared" si="3"/>
        <v>139.57006739483944</v>
      </c>
      <c r="H9" s="51">
        <f t="shared" si="4"/>
        <v>10</v>
      </c>
      <c r="I9" s="36">
        <f t="shared" si="5"/>
        <v>24.90000000000007</v>
      </c>
    </row>
    <row r="10" spans="1:9">
      <c r="A10" s="36">
        <f t="shared" si="0"/>
        <v>24.800000000000068</v>
      </c>
      <c r="B10" s="51">
        <f>(Prediction!$O$9*Calibration!$B$49*SQRT(I10+Prediction!$F$7-Prediction!$F$9))-((0.32989795*(I10+Prediction!$F$7-Prediction!$F$9)-1.302))</f>
        <v>27.053257582515545</v>
      </c>
      <c r="C10" s="51">
        <f>I10*Calibration!$B$50*Prediction!$O$9*Prediction!$B$18/12500*'Degradation Model'!$B$26/Prediction!$B$8</f>
        <v>29.903935849269853</v>
      </c>
      <c r="D10" s="51">
        <f t="shared" si="1"/>
        <v>97.903697512797677</v>
      </c>
      <c r="E10" s="51">
        <f>((Prediction!$O$10-1)*F10*Prediction!$B$10/7)</f>
        <v>13.240802307128495</v>
      </c>
      <c r="F10" s="51">
        <f t="shared" si="2"/>
        <v>124.95695509531322</v>
      </c>
      <c r="G10" s="51">
        <f t="shared" si="3"/>
        <v>138.19775740244171</v>
      </c>
      <c r="H10" s="51">
        <f t="shared" si="4"/>
        <v>10</v>
      </c>
      <c r="I10" s="36">
        <f t="shared" si="5"/>
        <v>24.800000000000068</v>
      </c>
    </row>
    <row r="11" spans="1:9">
      <c r="A11" s="36">
        <f t="shared" si="0"/>
        <v>24.700000000000067</v>
      </c>
      <c r="B11" s="51">
        <f>(Prediction!$O$9*Calibration!$B$49*SQRT(I11+Prediction!$F$7-Prediction!$F$9))-((0.32989795*(I11+Prediction!$F$7-Prediction!$F$9)-1.302))</f>
        <v>27.018096832512512</v>
      </c>
      <c r="C11" s="51">
        <f>I11*Calibration!$B$50*Prediction!$O$9*Prediction!$B$18/12500*'Degradation Model'!$B$26/Prediction!$B$8</f>
        <v>29.783355462780861</v>
      </c>
      <c r="D11" s="51">
        <f t="shared" si="1"/>
        <v>96.697893647907947</v>
      </c>
      <c r="E11" s="51">
        <f>((Prediction!$O$10-1)*F11*Prediction!$B$10/7)</f>
        <v>13.109306088103285</v>
      </c>
      <c r="F11" s="51">
        <f t="shared" si="2"/>
        <v>123.71599048042046</v>
      </c>
      <c r="G11" s="51">
        <f t="shared" si="3"/>
        <v>136.82529656852375</v>
      </c>
      <c r="H11" s="51">
        <f t="shared" si="4"/>
        <v>10</v>
      </c>
      <c r="I11" s="36">
        <f t="shared" si="5"/>
        <v>24.700000000000067</v>
      </c>
    </row>
    <row r="12" spans="1:9">
      <c r="A12" s="36">
        <f t="shared" si="0"/>
        <v>24.600000000000065</v>
      </c>
      <c r="B12" s="51">
        <f>(Prediction!$O$9*Calibration!$B$49*SQRT(I12+Prediction!$F$7-Prediction!$F$9))-((0.32989795*(I12+Prediction!$F$7-Prediction!$F$9)-1.302))</f>
        <v>26.982798869384034</v>
      </c>
      <c r="C12" s="51">
        <f>I12*Calibration!$B$50*Prediction!$O$9*Prediction!$B$18/12500*'Degradation Model'!$B$26/Prediction!$B$8</f>
        <v>29.662775076291862</v>
      </c>
      <c r="D12" s="51">
        <f t="shared" si="1"/>
        <v>95.492089783018216</v>
      </c>
      <c r="E12" s="51">
        <f>((Prediction!$O$10-1)*F12*Prediction!$B$10/7)</f>
        <v>12.977795329576319</v>
      </c>
      <c r="F12" s="51">
        <f t="shared" si="2"/>
        <v>122.47488865240226</v>
      </c>
      <c r="G12" s="51">
        <f t="shared" si="3"/>
        <v>135.45268398197857</v>
      </c>
      <c r="H12" s="51">
        <f t="shared" si="4"/>
        <v>10</v>
      </c>
      <c r="I12" s="36">
        <f t="shared" si="5"/>
        <v>24.600000000000065</v>
      </c>
    </row>
    <row r="13" spans="1:9">
      <c r="A13" s="36">
        <f t="shared" si="0"/>
        <v>24.500000000000064</v>
      </c>
      <c r="B13" s="51">
        <f>(Prediction!$O$9*Calibration!$B$49*SQRT(I13+Prediction!$F$7-Prediction!$F$9))-((0.32989795*(I13+Prediction!$F$7-Prediction!$F$9)-1.302))</f>
        <v>26.947362860990019</v>
      </c>
      <c r="C13" s="51">
        <f>I13*Calibration!$B$50*Prediction!$O$9*Prediction!$B$18/12500*'Degradation Model'!$B$26/Prediction!$B$8</f>
        <v>29.542194689802869</v>
      </c>
      <c r="D13" s="51">
        <f t="shared" si="1"/>
        <v>94.286285918128485</v>
      </c>
      <c r="E13" s="51">
        <f>((Prediction!$O$10-1)*F13*Prediction!$B$10/7)</f>
        <v>12.846269943371611</v>
      </c>
      <c r="F13" s="51">
        <f t="shared" si="2"/>
        <v>121.23364877911851</v>
      </c>
      <c r="G13" s="51">
        <f t="shared" si="3"/>
        <v>134.07991872249013</v>
      </c>
      <c r="H13" s="51">
        <f t="shared" si="4"/>
        <v>10</v>
      </c>
      <c r="I13" s="36">
        <f t="shared" si="5"/>
        <v>24.500000000000064</v>
      </c>
    </row>
    <row r="14" spans="1:9">
      <c r="A14" s="36">
        <f t="shared" si="0"/>
        <v>24.400000000000063</v>
      </c>
      <c r="B14" s="51">
        <f>(Prediction!$O$9*Calibration!$B$49*SQRT(I14+Prediction!$F$7-Prediction!$F$9))-((0.32989795*(I14+Prediction!$F$7-Prediction!$F$9)-1.302))</f>
        <v>26.911787966745223</v>
      </c>
      <c r="C14" s="51">
        <f>I14*Calibration!$B$50*Prediction!$O$9*Prediction!$B$18/12500*'Degradation Model'!$B$26/Prediction!$B$8</f>
        <v>29.421614303313881</v>
      </c>
      <c r="D14" s="51">
        <f t="shared" si="1"/>
        <v>93.080482053238754</v>
      </c>
      <c r="E14" s="51">
        <f>((Prediction!$O$10-1)*F14*Prediction!$B$10/7)</f>
        <v>12.714729840418306</v>
      </c>
      <c r="F14" s="51">
        <f t="shared" si="2"/>
        <v>119.99227001998398</v>
      </c>
      <c r="G14" s="51">
        <f t="shared" si="3"/>
        <v>132.70699986040228</v>
      </c>
      <c r="H14" s="51">
        <f t="shared" si="4"/>
        <v>10</v>
      </c>
      <c r="I14" s="36">
        <f t="shared" si="5"/>
        <v>24.400000000000063</v>
      </c>
    </row>
    <row r="15" spans="1:9">
      <c r="A15" s="36">
        <f t="shared" si="0"/>
        <v>24.300000000000061</v>
      </c>
      <c r="B15" s="51">
        <f>(Prediction!$O$9*Calibration!$B$49*SQRT(I15+Prediction!$F$7-Prediction!$F$9))-((0.32989795*(I15+Prediction!$F$7-Prediction!$F$9)-1.302))</f>
        <v>26.876073337498799</v>
      </c>
      <c r="C15" s="51">
        <f>I15*Calibration!$B$50*Prediction!$O$9*Prediction!$B$18/12500*'Degradation Model'!$B$26/Prediction!$B$8</f>
        <v>29.301033916824892</v>
      </c>
      <c r="D15" s="51">
        <f t="shared" si="1"/>
        <v>91.874678188349023</v>
      </c>
      <c r="E15" s="51">
        <f>((Prediction!$O$10-1)*F15*Prediction!$B$10/7)</f>
        <v>12.583174930737915</v>
      </c>
      <c r="F15" s="51">
        <f t="shared" si="2"/>
        <v>118.75075152584782</v>
      </c>
      <c r="G15" s="51">
        <f t="shared" si="3"/>
        <v>131.33392645658574</v>
      </c>
      <c r="H15" s="51">
        <f t="shared" si="4"/>
        <v>10</v>
      </c>
      <c r="I15" s="36">
        <f t="shared" si="5"/>
        <v>24.300000000000061</v>
      </c>
    </row>
    <row r="16" spans="1:9">
      <c r="A16" s="36">
        <f t="shared" si="0"/>
        <v>24.20000000000006</v>
      </c>
      <c r="B16" s="51">
        <f>(Prediction!$O$9*Calibration!$B$49*SQRT(I16+Prediction!$F$7-Prediction!$F$9))-((0.32989795*(I16+Prediction!$F$7-Prediction!$F$9)-1.302))</f>
        <v>26.840218115411602</v>
      </c>
      <c r="C16" s="51">
        <f>I16*Calibration!$B$50*Prediction!$O$9*Prediction!$B$18/12500*'Degradation Model'!$B$26/Prediction!$B$8</f>
        <v>29.180453530335896</v>
      </c>
      <c r="D16" s="51">
        <f t="shared" si="1"/>
        <v>90.668874323459292</v>
      </c>
      <c r="E16" s="51">
        <f>((Prediction!$O$10-1)*F16*Prediction!$B$10/7)</f>
        <v>12.451605123431305</v>
      </c>
      <c r="F16" s="51">
        <f t="shared" si="2"/>
        <v>117.50909243887089</v>
      </c>
      <c r="G16" s="51">
        <f t="shared" si="3"/>
        <v>129.96069756230219</v>
      </c>
      <c r="H16" s="51">
        <f t="shared" si="4"/>
        <v>10</v>
      </c>
      <c r="I16" s="36">
        <f t="shared" si="5"/>
        <v>24.20000000000006</v>
      </c>
    </row>
    <row r="17" spans="1:9">
      <c r="A17" s="36">
        <f t="shared" si="0"/>
        <v>24.100000000000058</v>
      </c>
      <c r="B17" s="51">
        <f>(Prediction!$O$9*Calibration!$B$49*SQRT(I17+Prediction!$F$7-Prediction!$F$9))-((0.32989795*(I17+Prediction!$F$7-Prediction!$F$9)-1.302))</f>
        <v>26.804221433831188</v>
      </c>
      <c r="C17" s="51">
        <f>I17*Calibration!$B$50*Prediction!$O$9*Prediction!$B$18/12500*'Degradation Model'!$B$26/Prediction!$B$8</f>
        <v>29.059873143846904</v>
      </c>
      <c r="D17" s="51">
        <f t="shared" si="1"/>
        <v>89.463070458569561</v>
      </c>
      <c r="E17" s="51">
        <f>((Prediction!$O$10-1)*F17*Prediction!$B$10/7)</f>
        <v>12.320020326665462</v>
      </c>
      <c r="F17" s="51">
        <f t="shared" si="2"/>
        <v>116.26729189240075</v>
      </c>
      <c r="G17" s="51">
        <f t="shared" si="3"/>
        <v>128.58731221906621</v>
      </c>
      <c r="H17" s="51">
        <f t="shared" si="4"/>
        <v>10</v>
      </c>
      <c r="I17" s="36">
        <f t="shared" si="5"/>
        <v>24.100000000000058</v>
      </c>
    </row>
    <row r="18" spans="1:9">
      <c r="A18" s="36">
        <f t="shared" si="0"/>
        <v>24.000000000000057</v>
      </c>
      <c r="B18" s="51">
        <f>(Prediction!$O$9*Calibration!$B$49*SQRT(I18+Prediction!$F$7-Prediction!$F$9))-((0.32989795*(I18+Prediction!$F$7-Prediction!$F$9)-1.302))</f>
        <v>26.768082417164585</v>
      </c>
      <c r="C18" s="51">
        <f>I18*Calibration!$B$50*Prediction!$O$9*Prediction!$B$18/12500*'Degradation Model'!$B$26/Prediction!$B$8</f>
        <v>28.939292757357908</v>
      </c>
      <c r="D18" s="51">
        <f t="shared" si="1"/>
        <v>88.25726659367983</v>
      </c>
      <c r="E18" s="51">
        <f>((Prediction!$O$10-1)*F18*Prediction!$B$10/7)</f>
        <v>12.188420447660011</v>
      </c>
      <c r="F18" s="51">
        <f t="shared" si="2"/>
        <v>115.02534901084442</v>
      </c>
      <c r="G18" s="51">
        <f t="shared" si="3"/>
        <v>127.21376945850443</v>
      </c>
      <c r="H18" s="51">
        <f t="shared" si="4"/>
        <v>10</v>
      </c>
      <c r="I18" s="36">
        <f t="shared" si="5"/>
        <v>24.000000000000057</v>
      </c>
    </row>
    <row r="19" spans="1:9">
      <c r="A19" s="36">
        <f t="shared" si="0"/>
        <v>23.900000000000055</v>
      </c>
      <c r="B19" s="51">
        <f>(Prediction!$O$9*Calibration!$B$49*SQRT(I19+Prediction!$F$7-Prediction!$F$9))-((0.32989795*(I19+Prediction!$F$7-Prediction!$F$9)-1.302))</f>
        <v>26.731800180748575</v>
      </c>
      <c r="C19" s="51">
        <f>I19*Calibration!$B$50*Prediction!$O$9*Prediction!$B$18/12500*'Degradation Model'!$B$26/Prediction!$B$8</f>
        <v>28.818712370868916</v>
      </c>
      <c r="D19" s="51">
        <f t="shared" si="1"/>
        <v>87.051462728790099</v>
      </c>
      <c r="E19" s="51">
        <f>((Prediction!$O$10-1)*F19*Prediction!$B$10/7)</f>
        <v>12.056805392673462</v>
      </c>
      <c r="F19" s="51">
        <f t="shared" si="2"/>
        <v>113.78326290953868</v>
      </c>
      <c r="G19" s="51">
        <f t="shared" si="3"/>
        <v>125.84006830221215</v>
      </c>
      <c r="H19" s="51">
        <f t="shared" si="4"/>
        <v>10</v>
      </c>
      <c r="I19" s="36">
        <f t="shared" si="5"/>
        <v>23.900000000000055</v>
      </c>
    </row>
    <row r="20" spans="1:9">
      <c r="A20" s="36">
        <f t="shared" si="0"/>
        <v>23.800000000000054</v>
      </c>
      <c r="B20" s="51">
        <f>(Prediction!$O$9*Calibration!$B$49*SQRT(I20+Prediction!$F$7-Prediction!$F$9))-((0.32989795*(I20+Prediction!$F$7-Prediction!$F$9)-1.302))</f>
        <v>26.695373830717628</v>
      </c>
      <c r="C20" s="51">
        <f>I20*Calibration!$B$50*Prediction!$O$9*Prediction!$B$18/12500*'Degradation Model'!$B$26/Prediction!$B$8</f>
        <v>28.698131984379927</v>
      </c>
      <c r="D20" s="51">
        <f t="shared" si="1"/>
        <v>85.845658863900368</v>
      </c>
      <c r="E20" s="51">
        <f>((Prediction!$O$10-1)*F20*Prediction!$B$10/7)</f>
        <v>11.925175066989226</v>
      </c>
      <c r="F20" s="51">
        <f t="shared" si="2"/>
        <v>112.541032694618</v>
      </c>
      <c r="G20" s="51">
        <f t="shared" si="3"/>
        <v>124.46620776160722</v>
      </c>
      <c r="H20" s="51">
        <f t="shared" si="4"/>
        <v>10</v>
      </c>
      <c r="I20" s="36">
        <f t="shared" si="5"/>
        <v>23.800000000000054</v>
      </c>
    </row>
    <row r="21" spans="1:9">
      <c r="A21" s="36">
        <f t="shared" si="0"/>
        <v>23.700000000000053</v>
      </c>
      <c r="B21" s="51">
        <f>(Prediction!$O$9*Calibration!$B$49*SQRT(I21+Prediction!$F$7-Prediction!$F$9))-((0.32989795*(I21+Prediction!$F$7-Prediction!$F$9)-1.302))</f>
        <v>26.658802463869343</v>
      </c>
      <c r="C21" s="51">
        <f>I21*Calibration!$B$50*Prediction!$O$9*Prediction!$B$18/12500*'Degradation Model'!$B$26/Prediction!$B$8</f>
        <v>28.577551597890935</v>
      </c>
      <c r="D21" s="51">
        <f t="shared" si="1"/>
        <v>84.639854999010637</v>
      </c>
      <c r="E21" s="51">
        <f>((Prediction!$O$10-1)*F21*Prediction!$B$10/7)</f>
        <v>11.793529374901352</v>
      </c>
      <c r="F21" s="51">
        <f t="shared" si="2"/>
        <v>111.29865746287999</v>
      </c>
      <c r="G21" s="51">
        <f t="shared" si="3"/>
        <v>123.09218683778134</v>
      </c>
      <c r="H21" s="51">
        <f t="shared" si="4"/>
        <v>10</v>
      </c>
      <c r="I21" s="36">
        <f t="shared" si="5"/>
        <v>23.700000000000053</v>
      </c>
    </row>
    <row r="22" spans="1:9">
      <c r="A22" s="36">
        <f t="shared" si="0"/>
        <v>23.600000000000051</v>
      </c>
      <c r="B22" s="51">
        <f>(Prediction!$O$9*Calibration!$B$49*SQRT(I22+Prediction!$F$7-Prediction!$F$9))-((0.32989795*(I22+Prediction!$F$7-Prediction!$F$9)-1.302))</f>
        <v>26.62208516752731</v>
      </c>
      <c r="C22" s="51">
        <f>I22*Calibration!$B$50*Prediction!$O$9*Prediction!$B$18/12500*'Degradation Model'!$B$26/Prediction!$B$8</f>
        <v>28.456971211401939</v>
      </c>
      <c r="D22" s="51">
        <f t="shared" si="1"/>
        <v>83.434051134120907</v>
      </c>
      <c r="E22" s="51">
        <f>((Prediction!$O$10-1)*F22*Prediction!$B$10/7)</f>
        <v>11.661868219699992</v>
      </c>
      <c r="F22" s="51">
        <f t="shared" si="2"/>
        <v>110.05613630164822</v>
      </c>
      <c r="G22" s="51">
        <f t="shared" si="3"/>
        <v>121.71800452134822</v>
      </c>
      <c r="H22" s="51">
        <f t="shared" si="4"/>
        <v>10</v>
      </c>
      <c r="I22" s="36">
        <f t="shared" si="5"/>
        <v>23.600000000000051</v>
      </c>
    </row>
    <row r="23" spans="1:9">
      <c r="A23" s="36">
        <f t="shared" si="0"/>
        <v>23.50000000000005</v>
      </c>
      <c r="B23" s="51">
        <f>(Prediction!$O$9*Calibration!$B$49*SQRT(I23+Prediction!$F$7-Prediction!$F$9))-((0.32989795*(I23+Prediction!$F$7-Prediction!$F$9)-1.302))</f>
        <v>26.585221019401427</v>
      </c>
      <c r="C23" s="51">
        <f>I23*Calibration!$B$50*Prediction!$O$9*Prediction!$B$18/12500*'Degradation Model'!$B$26/Prediction!$B$8</f>
        <v>28.336390824912947</v>
      </c>
      <c r="D23" s="51">
        <f t="shared" si="1"/>
        <v>82.228247269231176</v>
      </c>
      <c r="E23" s="51">
        <f>((Prediction!$O$10-1)*F23*Prediction!$B$10/7)</f>
        <v>11.530191503656605</v>
      </c>
      <c r="F23" s="51">
        <f t="shared" si="2"/>
        <v>108.81346828863261</v>
      </c>
      <c r="G23" s="51">
        <f t="shared" si="3"/>
        <v>120.34365979228922</v>
      </c>
      <c r="H23" s="51">
        <f t="shared" si="4"/>
        <v>10</v>
      </c>
      <c r="I23" s="36">
        <f t="shared" si="5"/>
        <v>23.50000000000005</v>
      </c>
    </row>
    <row r="24" spans="1:9">
      <c r="A24" s="36">
        <f t="shared" si="0"/>
        <v>23.400000000000048</v>
      </c>
      <c r="B24" s="51">
        <f>(Prediction!$O$9*Calibration!$B$49*SQRT(I24+Prediction!$F$7-Prediction!$F$9))-((0.32989795*(I24+Prediction!$F$7-Prediction!$F$9)-1.302))</f>
        <v>26.548209087445493</v>
      </c>
      <c r="C24" s="51">
        <f>I24*Calibration!$B$50*Prediction!$O$9*Prediction!$B$18/12500*'Degradation Model'!$B$26/Prediction!$B$8</f>
        <v>28.215810438423951</v>
      </c>
      <c r="D24" s="51">
        <f t="shared" si="1"/>
        <v>81.022443404341445</v>
      </c>
      <c r="E24" s="51">
        <f>((Prediction!$O$10-1)*F24*Prediction!$B$10/7)</f>
        <v>11.398499128008863</v>
      </c>
      <c r="F24" s="51">
        <f t="shared" si="2"/>
        <v>107.57065249178694</v>
      </c>
      <c r="G24" s="51">
        <f t="shared" si="3"/>
        <v>118.96915161979581</v>
      </c>
      <c r="H24" s="51">
        <f t="shared" si="4"/>
        <v>10</v>
      </c>
      <c r="I24" s="36">
        <f t="shared" si="5"/>
        <v>23.400000000000048</v>
      </c>
    </row>
    <row r="25" spans="1:9">
      <c r="A25" s="36">
        <f t="shared" si="0"/>
        <v>23.300000000000047</v>
      </c>
      <c r="B25" s="51">
        <f>(Prediction!$O$9*Calibration!$B$49*SQRT(I25+Prediction!$F$7-Prediction!$F$9))-((0.32989795*(I25+Prediction!$F$7-Prediction!$F$9)-1.302))</f>
        <v>26.511048429712126</v>
      </c>
      <c r="C25" s="51">
        <f>I25*Calibration!$B$50*Prediction!$O$9*Prediction!$B$18/12500*'Degradation Model'!$B$26/Prediction!$B$8</f>
        <v>28.095230051934958</v>
      </c>
      <c r="D25" s="51">
        <f t="shared" si="1"/>
        <v>79.816639539451714</v>
      </c>
      <c r="E25" s="51">
        <f>((Prediction!$O$10-1)*F25*Prediction!$B$10/7)</f>
        <v>11.266790992945285</v>
      </c>
      <c r="F25" s="51">
        <f t="shared" si="2"/>
        <v>106.32768796916383</v>
      </c>
      <c r="G25" s="51">
        <f t="shared" si="3"/>
        <v>117.59447896210912</v>
      </c>
      <c r="H25" s="51">
        <f t="shared" si="4"/>
        <v>10</v>
      </c>
      <c r="I25" s="36">
        <f t="shared" si="5"/>
        <v>23.300000000000047</v>
      </c>
    </row>
    <row r="26" spans="1:9">
      <c r="A26" s="36">
        <f t="shared" si="0"/>
        <v>23.200000000000045</v>
      </c>
      <c r="B26" s="51">
        <f>(Prediction!$O$9*Calibration!$B$49*SQRT(I26+Prediction!$F$7-Prediction!$F$9))-((0.32989795*(I26+Prediction!$F$7-Prediction!$F$9)-1.302))</f>
        <v>26.473738094204897</v>
      </c>
      <c r="C26" s="51">
        <f>I26*Calibration!$B$50*Prediction!$O$9*Prediction!$B$18/12500*'Degradation Model'!$B$26/Prediction!$B$8</f>
        <v>27.97464966544597</v>
      </c>
      <c r="D26" s="51">
        <f t="shared" si="1"/>
        <v>78.610835674561983</v>
      </c>
      <c r="E26" s="51">
        <f>((Prediction!$O$10-1)*F26*Prediction!$B$10/7)</f>
        <v>11.135066997589563</v>
      </c>
      <c r="F26" s="51">
        <f t="shared" si="2"/>
        <v>105.08457376876689</v>
      </c>
      <c r="G26" s="51">
        <f t="shared" si="3"/>
        <v>116.21964076635645</v>
      </c>
      <c r="H26" s="51">
        <f t="shared" si="4"/>
        <v>10</v>
      </c>
      <c r="I26" s="36">
        <f t="shared" si="5"/>
        <v>23.200000000000045</v>
      </c>
    </row>
    <row r="27" spans="1:9">
      <c r="A27" s="36">
        <f t="shared" si="0"/>
        <v>23.100000000000044</v>
      </c>
      <c r="B27" s="51">
        <f>(Prediction!$O$9*Calibration!$B$49*SQRT(I27+Prediction!$F$7-Prediction!$F$9))-((0.32989795*(I27+Prediction!$F$7-Prediction!$F$9)-1.302))</f>
        <v>26.436277118727574</v>
      </c>
      <c r="C27" s="51">
        <f>I27*Calibration!$B$50*Prediction!$O$9*Prediction!$B$18/12500*'Degradation Model'!$B$26/Prediction!$B$8</f>
        <v>27.854069278956974</v>
      </c>
      <c r="D27" s="51">
        <f t="shared" si="1"/>
        <v>77.405031809672252</v>
      </c>
      <c r="E27" s="51">
        <f>((Prediction!$O$10-1)*F27*Prediction!$B$10/7)</f>
        <v>11.003327039984585</v>
      </c>
      <c r="F27" s="51">
        <f t="shared" si="2"/>
        <v>103.84130892839983</v>
      </c>
      <c r="G27" s="51">
        <f t="shared" si="3"/>
        <v>114.84463596838441</v>
      </c>
      <c r="H27" s="51">
        <f t="shared" si="4"/>
        <v>10</v>
      </c>
      <c r="I27" s="36">
        <f t="shared" si="5"/>
        <v>23.100000000000044</v>
      </c>
    </row>
    <row r="28" spans="1:9">
      <c r="A28" s="36">
        <f t="shared" si="0"/>
        <v>23.000000000000043</v>
      </c>
      <c r="B28" s="51">
        <f>(Prediction!$O$9*Calibration!$B$49*SQRT(I28+Prediction!$F$7-Prediction!$F$9))-((0.32989795*(I28+Prediction!$F$7-Prediction!$F$9)-1.302))</f>
        <v>26.398664530730489</v>
      </c>
      <c r="C28" s="51">
        <f>I28*Calibration!$B$50*Prediction!$O$9*Prediction!$B$18/12500*'Degradation Model'!$B$26/Prediction!$B$8</f>
        <v>27.733488892467982</v>
      </c>
      <c r="D28" s="51">
        <f t="shared" si="1"/>
        <v>76.199227944782521</v>
      </c>
      <c r="E28" s="51">
        <f>((Prediction!$O$10-1)*F28*Prediction!$B$10/7)</f>
        <v>10.871571017076159</v>
      </c>
      <c r="F28" s="51">
        <f t="shared" si="2"/>
        <v>102.59789247551301</v>
      </c>
      <c r="G28" s="51">
        <f t="shared" si="3"/>
        <v>113.46946349258917</v>
      </c>
      <c r="H28" s="51">
        <f t="shared" si="4"/>
        <v>10</v>
      </c>
      <c r="I28" s="36">
        <f t="shared" si="5"/>
        <v>23.000000000000043</v>
      </c>
    </row>
    <row r="29" spans="1:9">
      <c r="A29" s="36">
        <f t="shared" si="0"/>
        <v>22.900000000000041</v>
      </c>
      <c r="B29" s="51">
        <f>(Prediction!$O$9*Calibration!$B$49*SQRT(I29+Prediction!$F$7-Prediction!$F$9))-((0.32989795*(I29+Prediction!$F$7-Prediction!$F$9)-1.302))</f>
        <v>26.360899347153875</v>
      </c>
      <c r="C29" s="51">
        <f>I29*Calibration!$B$50*Prediction!$O$9*Prediction!$B$18/12500*'Degradation Model'!$B$26/Prediction!$B$8</f>
        <v>27.612908505978982</v>
      </c>
      <c r="D29" s="51">
        <f t="shared" si="1"/>
        <v>74.99342407989279</v>
      </c>
      <c r="E29" s="51">
        <f>((Prediction!$O$10-1)*F29*Prediction!$B$10/7)</f>
        <v>10.739798824696413</v>
      </c>
      <c r="F29" s="51">
        <f t="shared" si="2"/>
        <v>101.35432342704667</v>
      </c>
      <c r="G29" s="51">
        <f t="shared" si="3"/>
        <v>112.09412225174307</v>
      </c>
      <c r="H29" s="51">
        <f t="shared" si="4"/>
        <v>10</v>
      </c>
      <c r="I29" s="36">
        <f t="shared" si="5"/>
        <v>22.900000000000041</v>
      </c>
    </row>
    <row r="30" spans="1:9">
      <c r="A30" s="36">
        <f t="shared" si="0"/>
        <v>22.80000000000004</v>
      </c>
      <c r="B30" s="51">
        <f>(Prediction!$O$9*Calibration!$B$49*SQRT(I30+Prediction!$F$7-Prediction!$F$9))-((0.32989795*(I30+Prediction!$F$7-Prediction!$F$9)-1.302))</f>
        <v>26.322980574268179</v>
      </c>
      <c r="C30" s="51">
        <f>I30*Calibration!$B$50*Prediction!$O$9*Prediction!$B$18/12500*'Degradation Model'!$B$26/Prediction!$B$8</f>
        <v>27.492328119489994</v>
      </c>
      <c r="D30" s="51">
        <f t="shared" si="1"/>
        <v>73.787620215003059</v>
      </c>
      <c r="E30" s="51">
        <f>((Prediction!$O$10-1)*F30*Prediction!$B$10/7)</f>
        <v>10.608010357546878</v>
      </c>
      <c r="F30" s="51">
        <f t="shared" si="2"/>
        <v>100.11060078927125</v>
      </c>
      <c r="G30" s="51">
        <f t="shared" si="3"/>
        <v>110.71861114681812</v>
      </c>
      <c r="H30" s="51">
        <f t="shared" si="4"/>
        <v>10</v>
      </c>
      <c r="I30" s="36">
        <f t="shared" si="5"/>
        <v>22.80000000000004</v>
      </c>
    </row>
    <row r="31" spans="1:9">
      <c r="A31" s="36">
        <f t="shared" si="0"/>
        <v>22.700000000000038</v>
      </c>
      <c r="B31" s="51">
        <f>(Prediction!$O$9*Calibration!$B$49*SQRT(I31+Prediction!$F$7-Prediction!$F$9))-((0.32989795*(I31+Prediction!$F$7-Prediction!$F$9)-1.302))</f>
        <v>26.284907207511196</v>
      </c>
      <c r="C31" s="51">
        <f>I31*Calibration!$B$50*Prediction!$O$9*Prediction!$B$18/12500*'Degradation Model'!$B$26/Prediction!$B$8</f>
        <v>27.371747733001005</v>
      </c>
      <c r="D31" s="51">
        <f t="shared" si="1"/>
        <v>72.581816350113328</v>
      </c>
      <c r="E31" s="51">
        <f>((Prediction!$O$10-1)*F31*Prediction!$B$10/7)</f>
        <v>10.476205509181215</v>
      </c>
      <c r="F31" s="51">
        <f t="shared" si="2"/>
        <v>98.866723557624525</v>
      </c>
      <c r="G31" s="51">
        <f t="shared" si="3"/>
        <v>109.34292906680574</v>
      </c>
      <c r="H31" s="51">
        <f t="shared" si="4"/>
        <v>10</v>
      </c>
      <c r="I31" s="36">
        <f t="shared" si="5"/>
        <v>22.700000000000038</v>
      </c>
    </row>
    <row r="32" spans="1:9">
      <c r="A32" s="36">
        <f t="shared" si="0"/>
        <v>22.600000000000037</v>
      </c>
      <c r="B32" s="51">
        <f>(Prediction!$O$9*Calibration!$B$49*SQRT(I32+Prediction!$F$7-Prediction!$F$9))-((0.32989795*(I32+Prediction!$F$7-Prediction!$F$9)-1.302))</f>
        <v>26.246678231322097</v>
      </c>
      <c r="C32" s="51">
        <f>I32*Calibration!$B$50*Prediction!$O$9*Prediction!$B$18/12500*'Degradation Model'!$B$26/Prediction!$B$8</f>
        <v>27.251167346512013</v>
      </c>
      <c r="D32" s="51">
        <f t="shared" si="1"/>
        <v>71.376012485223598</v>
      </c>
      <c r="E32" s="51">
        <f>((Prediction!$O$10-1)*F32*Prediction!$B$10/7)</f>
        <v>10.344384171987652</v>
      </c>
      <c r="F32" s="51">
        <f t="shared" si="2"/>
        <v>97.622690716545691</v>
      </c>
      <c r="G32" s="51">
        <f t="shared" si="3"/>
        <v>107.96707488853335</v>
      </c>
      <c r="H32" s="51">
        <f t="shared" si="4"/>
        <v>10</v>
      </c>
      <c r="I32" s="36">
        <f t="shared" si="5"/>
        <v>22.600000000000037</v>
      </c>
    </row>
    <row r="33" spans="1:9">
      <c r="A33" s="36">
        <f t="shared" si="0"/>
        <v>22.500000000000036</v>
      </c>
      <c r="B33" s="51">
        <f>(Prediction!$O$9*Calibration!$B$49*SQRT(I33+Prediction!$F$7-Prediction!$F$9))-((0.32989795*(I33+Prediction!$F$7-Prediction!$F$9)-1.302))</f>
        <v>26.208292618972003</v>
      </c>
      <c r="C33" s="51">
        <f>I33*Calibration!$B$50*Prediction!$O$9*Prediction!$B$18/12500*'Degradation Model'!$B$26/Prediction!$B$8</f>
        <v>27.130586960023017</v>
      </c>
      <c r="D33" s="51">
        <f t="shared" si="1"/>
        <v>70.170208620333867</v>
      </c>
      <c r="E33" s="51">
        <f>((Prediction!$O$10-1)*F33*Prediction!$B$10/7)</f>
        <v>10.212546237171011</v>
      </c>
      <c r="F33" s="51">
        <f t="shared" si="2"/>
        <v>96.378501239305876</v>
      </c>
      <c r="G33" s="51">
        <f t="shared" si="3"/>
        <v>106.59104747647689</v>
      </c>
      <c r="H33" s="51">
        <f t="shared" si="4"/>
        <v>10</v>
      </c>
      <c r="I33" s="36">
        <f t="shared" si="5"/>
        <v>22.500000000000036</v>
      </c>
    </row>
    <row r="34" spans="1:9">
      <c r="A34" s="36">
        <f t="shared" si="0"/>
        <v>22.400000000000034</v>
      </c>
      <c r="B34" s="51">
        <f>(Prediction!$O$9*Calibration!$B$49*SQRT(I34+Prediction!$F$7-Prediction!$F$9))-((0.32989795*(I34+Prediction!$F$7-Prediction!$F$9)-1.302))</f>
        <v>26.169749332391355</v>
      </c>
      <c r="C34" s="51">
        <f>I34*Calibration!$B$50*Prediction!$O$9*Prediction!$B$18/12500*'Degradation Model'!$B$26/Prediction!$B$8</f>
        <v>27.010006573534024</v>
      </c>
      <c r="D34" s="51">
        <f t="shared" si="1"/>
        <v>68.964404755444136</v>
      </c>
      <c r="E34" s="51">
        <f>((Prediction!$O$10-1)*F34*Prediction!$B$10/7)</f>
        <v>10.08069159473442</v>
      </c>
      <c r="F34" s="51">
        <f t="shared" si="2"/>
        <v>95.134154087835498</v>
      </c>
      <c r="G34" s="51">
        <f t="shared" si="3"/>
        <v>105.21484568256992</v>
      </c>
      <c r="H34" s="51">
        <f t="shared" si="4"/>
        <v>10</v>
      </c>
      <c r="I34" s="36">
        <f t="shared" si="5"/>
        <v>22.400000000000034</v>
      </c>
    </row>
    <row r="35" spans="1:9">
      <c r="A35" s="36">
        <f t="shared" si="0"/>
        <v>22.300000000000033</v>
      </c>
      <c r="B35" s="51">
        <f>(Prediction!$O$9*Calibration!$B$49*SQRT(I35+Prediction!$F$7-Prediction!$F$9))-((0.32989795*(I35+Prediction!$F$7-Prediction!$F$9)-1.302))</f>
        <v>26.131047321993734</v>
      </c>
      <c r="C35" s="51">
        <f>I35*Calibration!$B$50*Prediction!$O$9*Prediction!$B$18/12500*'Degradation Model'!$B$26/Prediction!$B$8</f>
        <v>26.889426187045029</v>
      </c>
      <c r="D35" s="51">
        <f t="shared" si="1"/>
        <v>67.758600890554405</v>
      </c>
      <c r="E35" s="51">
        <f>((Prediction!$O$10-1)*F35*Prediction!$B$10/7)</f>
        <v>9.9488201334606483</v>
      </c>
      <c r="F35" s="51">
        <f t="shared" si="2"/>
        <v>93.889648212548138</v>
      </c>
      <c r="G35" s="51">
        <f t="shared" si="3"/>
        <v>103.83846834600878</v>
      </c>
      <c r="H35" s="51">
        <f t="shared" si="4"/>
        <v>10</v>
      </c>
      <c r="I35" s="36">
        <f t="shared" si="5"/>
        <v>22.300000000000033</v>
      </c>
    </row>
    <row r="36" spans="1:9">
      <c r="A36" s="36">
        <f t="shared" si="0"/>
        <v>22.200000000000031</v>
      </c>
      <c r="B36" s="51">
        <f>(Prediction!$O$9*Calibration!$B$49*SQRT(I36+Prediction!$F$7-Prediction!$F$9))-((0.32989795*(I36+Prediction!$F$7-Prediction!$F$9)-1.302))</f>
        <v>26.092185526496195</v>
      </c>
      <c r="C36" s="51">
        <f>I36*Calibration!$B$50*Prediction!$O$9*Prediction!$B$18/12500*'Degradation Model'!$B$26/Prediction!$B$8</f>
        <v>26.768845800556047</v>
      </c>
      <c r="D36" s="51">
        <f t="shared" si="1"/>
        <v>66.552797025664674</v>
      </c>
      <c r="E36" s="51">
        <f>((Prediction!$O$10-1)*F36*Prediction!$B$10/7)</f>
        <v>9.8169317408930734</v>
      </c>
      <c r="F36" s="51">
        <f t="shared" si="2"/>
        <v>92.644982552160869</v>
      </c>
      <c r="G36" s="51">
        <f t="shared" si="3"/>
        <v>102.46191429305394</v>
      </c>
      <c r="H36" s="51">
        <f t="shared" si="4"/>
        <v>10</v>
      </c>
      <c r="I36" s="36">
        <f t="shared" si="5"/>
        <v>22.200000000000031</v>
      </c>
    </row>
    <row r="37" spans="1:9">
      <c r="A37" s="36">
        <f t="shared" si="0"/>
        <v>22.10000000000003</v>
      </c>
      <c r="B37" s="51">
        <f>(Prediction!$O$9*Calibration!$B$49*SQRT(I37+Prediction!$F$7-Prediction!$F$9))-((0.32989795*(I37+Prediction!$F$7-Prediction!$F$9)-1.302))</f>
        <v>26.05316287273595</v>
      </c>
      <c r="C37" s="51">
        <f>I37*Calibration!$B$50*Prediction!$O$9*Prediction!$B$18/12500*'Degradation Model'!$B$26/Prediction!$B$8</f>
        <v>26.648265414067048</v>
      </c>
      <c r="D37" s="51">
        <f t="shared" si="1"/>
        <v>65.346993160774943</v>
      </c>
      <c r="E37" s="51">
        <f>((Prediction!$O$10-1)*F37*Prediction!$B$10/7)</f>
        <v>9.6850263033162474</v>
      </c>
      <c r="F37" s="51">
        <f t="shared" si="2"/>
        <v>91.400156033510896</v>
      </c>
      <c r="G37" s="51">
        <f t="shared" si="3"/>
        <v>101.08518233682715</v>
      </c>
      <c r="H37" s="51">
        <f t="shared" si="4"/>
        <v>10</v>
      </c>
      <c r="I37" s="36">
        <f t="shared" si="5"/>
        <v>22.10000000000003</v>
      </c>
    </row>
    <row r="38" spans="1:9">
      <c r="A38" s="36">
        <f t="shared" si="0"/>
        <v>22.000000000000028</v>
      </c>
      <c r="B38" s="51">
        <f>(Prediction!$O$9*Calibration!$B$49*SQRT(I38+Prediction!$F$7-Prediction!$F$9))-((0.32989795*(I38+Prediction!$F$7-Prediction!$F$9)-1.302))</f>
        <v>26.013978275483389</v>
      </c>
      <c r="C38" s="51">
        <f>I38*Calibration!$B$50*Prediction!$O$9*Prediction!$B$18/12500*'Degradation Model'!$B$26/Prediction!$B$8</f>
        <v>26.527685027578052</v>
      </c>
      <c r="D38" s="51">
        <f t="shared" si="1"/>
        <v>64.141189295885212</v>
      </c>
      <c r="E38" s="51">
        <f>((Prediction!$O$10-1)*F38*Prediction!$B$10/7)</f>
        <v>9.5531037057360795</v>
      </c>
      <c r="F38" s="51">
        <f t="shared" si="2"/>
        <v>90.155167571368594</v>
      </c>
      <c r="G38" s="51">
        <f t="shared" si="3"/>
        <v>99.708271277104672</v>
      </c>
      <c r="H38" s="51">
        <f t="shared" si="4"/>
        <v>10</v>
      </c>
      <c r="I38" s="36">
        <f t="shared" si="5"/>
        <v>22.000000000000028</v>
      </c>
    </row>
    <row r="39" spans="1:9">
      <c r="A39" s="36">
        <f t="shared" si="0"/>
        <v>21.900000000000027</v>
      </c>
      <c r="B39" s="51">
        <f>(Prediction!$O$9*Calibration!$B$49*SQRT(I39+Prediction!$F$7-Prediction!$F$9))-((0.32989795*(I39+Prediction!$F$7-Prediction!$F$9)-1.302))</f>
        <v>25.974630637251209</v>
      </c>
      <c r="C39" s="51">
        <f>I39*Calibration!$B$50*Prediction!$O$9*Prediction!$B$18/12500*'Degradation Model'!$B$26/Prediction!$B$8</f>
        <v>26.407104641089063</v>
      </c>
      <c r="D39" s="51">
        <f t="shared" si="1"/>
        <v>62.935385430995488</v>
      </c>
      <c r="E39" s="51">
        <f>((Prediction!$O$10-1)*F39*Prediction!$B$10/7)</f>
        <v>9.42116383185963</v>
      </c>
      <c r="F39" s="51">
        <f t="shared" si="2"/>
        <v>88.910016068246705</v>
      </c>
      <c r="G39" s="51">
        <f t="shared" si="3"/>
        <v>98.331179900106335</v>
      </c>
      <c r="H39" s="51">
        <f t="shared" si="4"/>
        <v>10</v>
      </c>
      <c r="I39" s="36">
        <f t="shared" si="5"/>
        <v>21.900000000000027</v>
      </c>
    </row>
    <row r="40" spans="1:9">
      <c r="A40" s="36">
        <f t="shared" ref="A40:A57" si="6">A41+0.1</f>
        <v>21.800000000000026</v>
      </c>
      <c r="B40" s="51">
        <f>(Prediction!$O$9*Calibration!$B$49*SQRT(I40+Prediction!$F$7-Prediction!$F$9))-((0.32989795*(I40+Prediction!$F$7-Prediction!$F$9)-1.302))</f>
        <v>25.935118848099776</v>
      </c>
      <c r="C40" s="51">
        <f>I40*Calibration!$B$50*Prediction!$O$9*Prediction!$B$18/12500*'Degradation Model'!$B$26/Prediction!$B$8</f>
        <v>26.286524254600067</v>
      </c>
      <c r="D40" s="51">
        <f t="shared" si="1"/>
        <v>61.729581566105765</v>
      </c>
      <c r="E40" s="51">
        <f>((Prediction!$O$10-1)*F40*Prediction!$B$10/7)</f>
        <v>9.2892065640744619</v>
      </c>
      <c r="F40" s="51">
        <f t="shared" si="2"/>
        <v>87.664700414205541</v>
      </c>
      <c r="G40" s="51">
        <f t="shared" si="3"/>
        <v>96.953906978280003</v>
      </c>
      <c r="H40" s="51">
        <f t="shared" si="4"/>
        <v>10</v>
      </c>
      <c r="I40" s="36">
        <f t="shared" ref="I40:I57" si="7">I41+0.1</f>
        <v>21.800000000000026</v>
      </c>
    </row>
    <row r="41" spans="1:9">
      <c r="A41" s="36">
        <f t="shared" si="6"/>
        <v>21.700000000000024</v>
      </c>
      <c r="B41" s="51">
        <f>(Prediction!$O$9*Calibration!$B$49*SQRT(I41+Prediction!$F$7-Prediction!$F$9))-((0.32989795*(I41+Prediction!$F$7-Prediction!$F$9)-1.302))</f>
        <v>25.895441785438358</v>
      </c>
      <c r="C41" s="51">
        <f>I41*Calibration!$B$50*Prediction!$O$9*Prediction!$B$18/12500*'Degradation Model'!$B$26/Prediction!$B$8</f>
        <v>26.165943868111071</v>
      </c>
      <c r="D41" s="51">
        <f t="shared" si="1"/>
        <v>60.523777701216041</v>
      </c>
      <c r="E41" s="51">
        <f>((Prediction!$O$10-1)*F41*Prediction!$B$10/7)</f>
        <v>9.1572317834275996</v>
      </c>
      <c r="F41" s="51">
        <f t="shared" si="2"/>
        <v>86.419219486654399</v>
      </c>
      <c r="G41" s="51">
        <f t="shared" si="3"/>
        <v>95.576451270082003</v>
      </c>
      <c r="H41" s="51">
        <f t="shared" si="4"/>
        <v>10</v>
      </c>
      <c r="I41" s="36">
        <f t="shared" si="7"/>
        <v>21.700000000000024</v>
      </c>
    </row>
    <row r="42" spans="1:9">
      <c r="A42" s="36">
        <f t="shared" si="6"/>
        <v>21.600000000000023</v>
      </c>
      <c r="B42" s="51">
        <f>(Prediction!$O$9*Calibration!$B$49*SQRT(I42+Prediction!$F$7-Prediction!$F$9))-((0.32989795*(I42+Prediction!$F$7-Prediction!$F$9)-1.302))</f>
        <v>25.855598313822362</v>
      </c>
      <c r="C42" s="51">
        <f>I42*Calibration!$B$50*Prediction!$O$9*Prediction!$B$18/12500*'Degradation Model'!$B$26/Prediction!$B$8</f>
        <v>26.045363481622083</v>
      </c>
      <c r="D42" s="51">
        <f t="shared" si="1"/>
        <v>59.317973836326317</v>
      </c>
      <c r="E42" s="51">
        <f>((Prediction!$O$10-1)*F42*Prediction!$B$10/7)</f>
        <v>9.0252393696040336</v>
      </c>
      <c r="F42" s="51">
        <f t="shared" si="2"/>
        <v>85.173572150148686</v>
      </c>
      <c r="G42" s="51">
        <f t="shared" si="3"/>
        <v>94.198811519752724</v>
      </c>
      <c r="H42" s="51">
        <f t="shared" si="4"/>
        <v>10</v>
      </c>
      <c r="I42" s="36">
        <f t="shared" si="7"/>
        <v>21.600000000000023</v>
      </c>
    </row>
    <row r="43" spans="1:9">
      <c r="A43" s="36">
        <f t="shared" si="6"/>
        <v>21.500000000000021</v>
      </c>
      <c r="B43" s="51">
        <f>(Prediction!$O$9*Calibration!$B$49*SQRT(I43+Prediction!$F$7-Prediction!$F$9))-((0.32989795*(I43+Prediction!$F$7-Prediction!$F$9)-1.302))</f>
        <v>25.815587284746304</v>
      </c>
      <c r="C43" s="51">
        <f>I43*Calibration!$B$50*Prediction!$O$9*Prediction!$B$18/12500*'Degradation Model'!$B$26/Prediction!$B$8</f>
        <v>25.92478309513309</v>
      </c>
      <c r="D43" s="51">
        <f t="shared" si="1"/>
        <v>58.112169971436593</v>
      </c>
      <c r="E43" s="51">
        <f>((Prediction!$O$10-1)*F43*Prediction!$B$10/7)</f>
        <v>8.8932292009047806</v>
      </c>
      <c r="F43" s="51">
        <f t="shared" si="2"/>
        <v>83.9277572561829</v>
      </c>
      <c r="G43" s="51">
        <f t="shared" si="3"/>
        <v>92.820986457087685</v>
      </c>
      <c r="H43" s="51">
        <f t="shared" si="4"/>
        <v>10</v>
      </c>
      <c r="I43" s="36">
        <f t="shared" si="7"/>
        <v>21.500000000000021</v>
      </c>
    </row>
    <row r="44" spans="1:9">
      <c r="A44" s="36">
        <f t="shared" si="6"/>
        <v>21.40000000000002</v>
      </c>
      <c r="B44" s="51">
        <f>(Prediction!$O$9*Calibration!$B$49*SQRT(I44+Prediction!$F$7-Prediction!$F$9))-((0.32989795*(I44+Prediction!$F$7-Prediction!$F$9)-1.302))</f>
        <v>25.77540753643256</v>
      </c>
      <c r="C44" s="51">
        <f>I44*Calibration!$B$50*Prediction!$O$9*Prediction!$B$18/12500*'Degradation Model'!$B$26/Prediction!$B$8</f>
        <v>25.804202708644102</v>
      </c>
      <c r="D44" s="51">
        <f t="shared" si="1"/>
        <v>56.906366106546869</v>
      </c>
      <c r="E44" s="51">
        <f>((Prediction!$O$10-1)*F44*Prediction!$B$10/7)</f>
        <v>8.7612011542245085</v>
      </c>
      <c r="F44" s="51">
        <f t="shared" si="2"/>
        <v>82.681773642979437</v>
      </c>
      <c r="G44" s="51">
        <f t="shared" si="3"/>
        <v>91.442974797203945</v>
      </c>
      <c r="H44" s="51">
        <f t="shared" si="4"/>
        <v>10</v>
      </c>
      <c r="I44" s="36">
        <f t="shared" si="7"/>
        <v>21.40000000000002</v>
      </c>
    </row>
    <row r="45" spans="1:9">
      <c r="A45" s="36">
        <f t="shared" si="6"/>
        <v>21.300000000000018</v>
      </c>
      <c r="B45" s="51">
        <f>(Prediction!$O$9*Calibration!$B$49*SQRT(I45+Prediction!$F$7-Prediction!$F$9))-((0.32989795*(I45+Prediction!$F$7-Prediction!$F$9)-1.302))</f>
        <v>25.735057893615561</v>
      </c>
      <c r="C45" s="51">
        <f>I45*Calibration!$B$50*Prediction!$O$9*Prediction!$B$18/12500*'Degradation Model'!$B$26/Prediction!$B$8</f>
        <v>25.683622322155106</v>
      </c>
      <c r="D45" s="51">
        <f t="shared" si="1"/>
        <v>55.700562241657146</v>
      </c>
      <c r="E45" s="51">
        <f>((Prediction!$O$10-1)*F45*Prediction!$B$10/7)</f>
        <v>8.6291551050286568</v>
      </c>
      <c r="F45" s="51">
        <f t="shared" si="2"/>
        <v>81.4356201352727</v>
      </c>
      <c r="G45" s="51">
        <f t="shared" si="3"/>
        <v>90.064775240301358</v>
      </c>
      <c r="H45" s="51">
        <f t="shared" si="4"/>
        <v>10</v>
      </c>
      <c r="I45" s="36">
        <f t="shared" si="7"/>
        <v>21.300000000000018</v>
      </c>
    </row>
    <row r="46" spans="1:9">
      <c r="A46" s="36">
        <f t="shared" si="6"/>
        <v>21.200000000000017</v>
      </c>
      <c r="B46" s="51">
        <f>(Prediction!$O$9*Calibration!$B$49*SQRT(I46+Prediction!$F$7-Prediction!$F$9))-((0.32989795*(I46+Prediction!$F$7-Prediction!$F$9)-1.302))</f>
        <v>25.694537167321624</v>
      </c>
      <c r="C46" s="51">
        <f>I46*Calibration!$B$50*Prediction!$O$9*Prediction!$B$18/12500*'Degradation Model'!$B$26/Prediction!$B$8</f>
        <v>25.563041935666114</v>
      </c>
      <c r="D46" s="51">
        <f t="shared" si="1"/>
        <v>54.62140302514549</v>
      </c>
      <c r="E46" s="51">
        <f>((Prediction!$O$10-1)*F46*Prediction!$B$10/7)</f>
        <v>8.5105105625249013</v>
      </c>
      <c r="F46" s="51">
        <f t="shared" si="2"/>
        <v>80.31594019246711</v>
      </c>
      <c r="G46" s="51">
        <f t="shared" si="3"/>
        <v>88.82645075499201</v>
      </c>
      <c r="H46" s="51">
        <f t="shared" si="4"/>
        <v>11.17354924500799</v>
      </c>
      <c r="I46" s="36">
        <f t="shared" si="7"/>
        <v>21.200000000000017</v>
      </c>
    </row>
    <row r="47" spans="1:9">
      <c r="A47" s="36">
        <f t="shared" si="6"/>
        <v>21.100000000000016</v>
      </c>
      <c r="B47" s="51">
        <f>(Prediction!$O$9*Calibration!$B$49*SQRT(I47+Prediction!$F$7-Prediction!$F$9))-((0.32989795*(I47+Prediction!$F$7-Prediction!$F$9)-1.302))</f>
        <v>25.653844154643991</v>
      </c>
      <c r="C47" s="51">
        <f>I47*Calibration!$B$50*Prediction!$O$9*Prediction!$B$18/12500*'Degradation Model'!$B$26/Prediction!$B$8</f>
        <v>25.442461549177118</v>
      </c>
      <c r="D47" s="51">
        <f t="shared" si="1"/>
        <v>53.641276870899915</v>
      </c>
      <c r="E47" s="51">
        <f>((Prediction!$O$10-1)*F47*Prediction!$B$10/7)</f>
        <v>8.4023415952973632</v>
      </c>
      <c r="F47" s="51">
        <f t="shared" si="2"/>
        <v>79.295121025543907</v>
      </c>
      <c r="G47" s="51">
        <f t="shared" si="3"/>
        <v>87.697462620841264</v>
      </c>
      <c r="H47" s="51">
        <f t="shared" si="4"/>
        <v>12.302537379158736</v>
      </c>
      <c r="I47" s="36">
        <f t="shared" si="7"/>
        <v>21.100000000000016</v>
      </c>
    </row>
    <row r="48" spans="1:9">
      <c r="A48" s="36">
        <f t="shared" si="6"/>
        <v>21.000000000000014</v>
      </c>
      <c r="B48" s="51">
        <f>(Prediction!$O$9*Calibration!$B$49*SQRT(I48+Prediction!$F$7-Prediction!$F$9))-((0.32989795*(I48+Prediction!$F$7-Prediction!$F$9)-1.302))</f>
        <v>25.612977638513218</v>
      </c>
      <c r="C48" s="51">
        <f>I48*Calibration!$B$50*Prediction!$O$9*Prediction!$B$18/12500*'Degradation Model'!$B$26/Prediction!$B$8</f>
        <v>25.321881162688125</v>
      </c>
      <c r="D48" s="51">
        <f t="shared" si="1"/>
        <v>52.737843111573824</v>
      </c>
      <c r="E48" s="51">
        <f>((Prediction!$O$10-1)*F48*Prediction!$B$10/7)</f>
        <v>8.3022807923084123</v>
      </c>
      <c r="F48" s="51">
        <f t="shared" si="2"/>
        <v>78.350820750087038</v>
      </c>
      <c r="G48" s="51">
        <f t="shared" si="3"/>
        <v>86.653101542395447</v>
      </c>
      <c r="H48" s="51">
        <f t="shared" si="4"/>
        <v>13.346898457604553</v>
      </c>
      <c r="I48" s="36">
        <f t="shared" si="7"/>
        <v>21.000000000000014</v>
      </c>
    </row>
    <row r="49" spans="1:9">
      <c r="A49" s="36">
        <f t="shared" si="6"/>
        <v>20.900000000000013</v>
      </c>
      <c r="B49" s="51">
        <f>(Prediction!$O$9*Calibration!$B$49*SQRT(I49+Prediction!$F$7-Prediction!$F$9))-((0.32989795*(I49+Prediction!$F$7-Prediction!$F$9)-1.302))</f>
        <v>25.5719363874626</v>
      </c>
      <c r="C49" s="51">
        <f>I49*Calibration!$B$50*Prediction!$O$9*Prediction!$B$18/12500*'Degradation Model'!$B$26/Prediction!$B$8</f>
        <v>25.201300776199137</v>
      </c>
      <c r="D49" s="51">
        <f t="shared" si="1"/>
        <v>51.895997570620487</v>
      </c>
      <c r="E49" s="51">
        <f>((Prediction!$O$10-1)*F49*Prediction!$B$10/7)</f>
        <v>8.2087275406019948</v>
      </c>
      <c r="F49" s="51">
        <f t="shared" si="2"/>
        <v>77.46793395808308</v>
      </c>
      <c r="G49" s="51">
        <f t="shared" si="3"/>
        <v>85.676661498685078</v>
      </c>
      <c r="H49" s="51">
        <f t="shared" si="4"/>
        <v>14.323338501314922</v>
      </c>
      <c r="I49" s="36">
        <f t="shared" si="7"/>
        <v>20.900000000000013</v>
      </c>
    </row>
    <row r="50" spans="1:9">
      <c r="A50" s="36">
        <f t="shared" si="6"/>
        <v>20.800000000000011</v>
      </c>
      <c r="B50" s="51">
        <f>(Prediction!$O$9*Calibration!$B$49*SQRT(I50+Prediction!$F$7-Prediction!$F$9))-((0.32989795*(I50+Prediction!$F$7-Prediction!$F$9)-1.302))</f>
        <v>25.530719155388571</v>
      </c>
      <c r="C50" s="51">
        <f>I50*Calibration!$B$50*Prediction!$O$9*Prediction!$B$18/12500*'Degradation Model'!$B$26/Prediction!$B$8</f>
        <v>25.080720389710145</v>
      </c>
      <c r="D50" s="51">
        <f t="shared" si="1"/>
        <v>51.104982656461203</v>
      </c>
      <c r="E50" s="51">
        <f>((Prediction!$O$10-1)*F50*Prediction!$B$10/7)</f>
        <v>8.1205418024531486</v>
      </c>
      <c r="F50" s="51">
        <f t="shared" si="2"/>
        <v>76.635701811849771</v>
      </c>
      <c r="G50" s="51">
        <f t="shared" si="3"/>
        <v>84.756243614302917</v>
      </c>
      <c r="H50" s="51">
        <f t="shared" si="4"/>
        <v>15.243756385697083</v>
      </c>
      <c r="I50" s="36">
        <f t="shared" si="7"/>
        <v>20.800000000000011</v>
      </c>
    </row>
    <row r="51" spans="1:9">
      <c r="A51" s="36">
        <f t="shared" si="6"/>
        <v>20.70000000000001</v>
      </c>
      <c r="B51" s="51">
        <f>(Prediction!$O$9*Calibration!$B$49*SQRT(I51+Prediction!$F$7-Prediction!$F$9))-((0.32989795*(I51+Prediction!$F$7-Prediction!$F$9)-1.302))</f>
        <v>25.489324681306051</v>
      </c>
      <c r="C51" s="51">
        <f>I51*Calibration!$B$50*Prediction!$O$9*Prediction!$B$18/12500*'Degradation Model'!$B$26/Prediction!$B$8</f>
        <v>24.960140003221149</v>
      </c>
      <c r="D51" s="51">
        <f t="shared" si="1"/>
        <v>50.356824832935509</v>
      </c>
      <c r="E51" s="51">
        <f>((Prediction!$O$10-1)*F51*Prediction!$B$10/7)</f>
        <v>8.0368785451675091</v>
      </c>
      <c r="F51" s="51">
        <f t="shared" si="2"/>
        <v>75.84614951424156</v>
      </c>
      <c r="G51" s="51">
        <f t="shared" si="3"/>
        <v>83.883028059409071</v>
      </c>
      <c r="H51" s="51">
        <f t="shared" si="4"/>
        <v>16.116971940590929</v>
      </c>
      <c r="I51" s="36">
        <f t="shared" si="7"/>
        <v>20.70000000000001</v>
      </c>
    </row>
    <row r="52" spans="1:9">
      <c r="A52" s="36">
        <f t="shared" si="6"/>
        <v>20.600000000000009</v>
      </c>
      <c r="B52" s="51">
        <f>(Prediction!$O$9*Calibration!$B$49*SQRT(I52+Prediction!$F$7-Prediction!$F$9))-((0.32989795*(I52+Prediction!$F$7-Prediction!$F$9)-1.302))</f>
        <v>25.447751689098389</v>
      </c>
      <c r="C52" s="51">
        <f>I52*Calibration!$B$50*Prediction!$O$9*Prediction!$B$18/12500*'Degradation Model'!$B$26/Prediction!$B$8</f>
        <v>24.83955961673216</v>
      </c>
      <c r="D52" s="51">
        <f t="shared" si="1"/>
        <v>49.645424877807272</v>
      </c>
      <c r="E52" s="51">
        <f>((Prediction!$O$10-1)*F52*Prediction!$B$10/7)</f>
        <v>7.95709134220081</v>
      </c>
      <c r="F52" s="51">
        <f t="shared" si="2"/>
        <v>75.093176566905669</v>
      </c>
      <c r="G52" s="51">
        <f t="shared" si="3"/>
        <v>83.050267909106481</v>
      </c>
      <c r="H52" s="51">
        <f t="shared" si="4"/>
        <v>16.949732090893519</v>
      </c>
      <c r="I52" s="36">
        <f t="shared" si="7"/>
        <v>20.600000000000009</v>
      </c>
    </row>
    <row r="53" spans="1:9">
      <c r="A53" s="36">
        <f t="shared" si="6"/>
        <v>20.500000000000007</v>
      </c>
      <c r="B53" s="51">
        <f>(Prediction!$O$9*Calibration!$B$49*SQRT(I53+Prediction!$F$7-Prediction!$F$9))-((0.32989795*(I53+Prediction!$F$7-Prediction!$F$9)-1.302))</f>
        <v>25.40599888726193</v>
      </c>
      <c r="C53" s="51">
        <f>I53*Calibration!$B$50*Prediction!$O$9*Prediction!$B$18/12500*'Degradation Model'!$B$26/Prediction!$B$8</f>
        <v>24.718979230243168</v>
      </c>
      <c r="D53" s="51">
        <f t="shared" si="1"/>
        <v>48.965996616530504</v>
      </c>
      <c r="E53" s="51">
        <f>((Prediction!$O$10-1)*F53*Prediction!$B$10/7)</f>
        <v>7.8806728997296132</v>
      </c>
      <c r="F53" s="51">
        <f t="shared" si="2"/>
        <v>74.371995503792434</v>
      </c>
      <c r="G53" s="51">
        <f t="shared" si="3"/>
        <v>82.252668403522051</v>
      </c>
      <c r="H53" s="51">
        <f t="shared" si="4"/>
        <v>17.747331596477949</v>
      </c>
      <c r="I53" s="36">
        <f t="shared" si="7"/>
        <v>20.500000000000007</v>
      </c>
    </row>
    <row r="54" spans="1:9">
      <c r="A54" s="36">
        <f t="shared" si="6"/>
        <v>20.400000000000006</v>
      </c>
      <c r="B54" s="51">
        <f>(Prediction!$O$9*Calibration!$B$49*SQRT(I54+Prediction!$F$7-Prediction!$F$9))-((0.32989795*(I54+Prediction!$F$7-Prediction!$F$9)-1.302))</f>
        <v>25.364064968645032</v>
      </c>
      <c r="C54" s="51">
        <f>I54*Calibration!$B$50*Prediction!$O$9*Prediction!$B$18/12500*'Degradation Model'!$B$26/Prediction!$B$8</f>
        <v>24.598398843754168</v>
      </c>
      <c r="D54" s="51">
        <f t="shared" si="1"/>
        <v>48.314704117101648</v>
      </c>
      <c r="E54" s="51">
        <f>((Prediction!$O$10-1)*F54*Prediction!$B$10/7)</f>
        <v>7.8072166127352531</v>
      </c>
      <c r="F54" s="51">
        <f t="shared" si="2"/>
        <v>73.67876908574668</v>
      </c>
      <c r="G54" s="51">
        <f t="shared" si="3"/>
        <v>81.485985698481926</v>
      </c>
      <c r="H54" s="51">
        <f t="shared" si="4"/>
        <v>18.514014301518074</v>
      </c>
      <c r="I54" s="36">
        <f t="shared" si="7"/>
        <v>20.400000000000006</v>
      </c>
    </row>
    <row r="55" spans="1:9">
      <c r="A55" s="36">
        <f t="shared" si="6"/>
        <v>20.300000000000004</v>
      </c>
      <c r="B55" s="51">
        <f>(Prediction!$O$9*Calibration!$B$49*SQRT(I55+Prediction!$F$7-Prediction!$F$9))-((0.32989795*(I55+Prediction!$F$7-Prediction!$F$9)-1.302))</f>
        <v>25.321948610181359</v>
      </c>
      <c r="C55" s="51">
        <f>I55*Calibration!$B$50*Prediction!$O$9*Prediction!$B$18/12500*'Degradation Model'!$B$26/Prediction!$B$8</f>
        <v>24.47781845726518</v>
      </c>
      <c r="D55" s="51">
        <f t="shared" si="1"/>
        <v>47.688417996494373</v>
      </c>
      <c r="E55" s="51">
        <f>((Prediction!$O$10-1)*F55*Prediction!$B$10/7)</f>
        <v>7.7363907424967993</v>
      </c>
      <c r="F55" s="51">
        <f t="shared" si="2"/>
        <v>73.010366606675731</v>
      </c>
      <c r="G55" s="51">
        <f t="shared" si="3"/>
        <v>80.746757349172526</v>
      </c>
      <c r="H55" s="51">
        <f t="shared" si="4"/>
        <v>19.253242650827474</v>
      </c>
      <c r="I55" s="36">
        <f t="shared" si="7"/>
        <v>20.300000000000004</v>
      </c>
    </row>
    <row r="56" spans="1:9">
      <c r="A56" s="36">
        <f t="shared" si="6"/>
        <v>20.200000000000003</v>
      </c>
      <c r="B56" s="51">
        <f>(Prediction!$O$9*Calibration!$B$49*SQRT(I56+Prediction!$F$7-Prediction!$F$9))-((0.32989795*(I56+Prediction!$F$7-Prediction!$F$9)-1.302))</f>
        <v>25.279648472617218</v>
      </c>
      <c r="C56" s="51">
        <f>I56*Calibration!$B$50*Prediction!$O$9*Prediction!$B$18/12500*'Degradation Model'!$B$26/Prediction!$B$8</f>
        <v>24.357238070776184</v>
      </c>
      <c r="D56" s="51">
        <f t="shared" si="1"/>
        <v>47.084546386220275</v>
      </c>
      <c r="E56" s="51">
        <f>((Prediction!$O$10-1)*F56*Prediction!$B$10/7)</f>
        <v>7.6679205051814634</v>
      </c>
      <c r="F56" s="51">
        <f t="shared" si="2"/>
        <v>72.364194858837493</v>
      </c>
      <c r="G56" s="51">
        <f t="shared" si="3"/>
        <v>80.032115364018949</v>
      </c>
      <c r="H56" s="51">
        <f t="shared" si="4"/>
        <v>19.967884635981051</v>
      </c>
      <c r="I56" s="36">
        <f t="shared" si="7"/>
        <v>20.200000000000003</v>
      </c>
    </row>
    <row r="57" spans="1:9">
      <c r="A57" s="36">
        <f t="shared" si="6"/>
        <v>20.100000000000001</v>
      </c>
      <c r="B57" s="51">
        <f>(Prediction!$O$9*Calibration!$B$49*SQRT(I57+Prediction!$F$7-Prediction!$F$9))-((0.32989795*(I57+Prediction!$F$7-Prediction!$F$9)-1.302))</f>
        <v>25.237163200233006</v>
      </c>
      <c r="C57" s="51">
        <f>I57*Calibration!$B$50*Prediction!$O$9*Prediction!$B$18/12500*'Degradation Model'!$B$26/Prediction!$B$8</f>
        <v>24.236657684287191</v>
      </c>
      <c r="D57" s="51">
        <f t="shared" si="1"/>
        <v>46.500914435906722</v>
      </c>
      <c r="E57" s="51">
        <f>((Prediction!$O$10-1)*F57*Prediction!$B$10/7)</f>
        <v>7.6015753036638225</v>
      </c>
      <c r="F57" s="51">
        <f t="shared" si="2"/>
        <v>71.738077636139735</v>
      </c>
      <c r="G57" s="51">
        <f t="shared" si="3"/>
        <v>79.339652939803557</v>
      </c>
      <c r="H57" s="51">
        <f t="shared" si="4"/>
        <v>20.660347060196443</v>
      </c>
      <c r="I57" s="36">
        <f t="shared" si="7"/>
        <v>20.100000000000001</v>
      </c>
    </row>
    <row r="58" spans="1:9">
      <c r="A58" s="25">
        <v>20</v>
      </c>
      <c r="B58" s="51">
        <f>(Prediction!$O$9*Calibration!$B$49*SQRT(I58+Prediction!$F$7-Prediction!$F$9))-((0.32989795*(I58+Prediction!$F$7-Prediction!$F$9)-1.302))</f>
        <v>25.194491420558329</v>
      </c>
      <c r="C58" s="51">
        <f>I58*Calibration!$B$50*Prediction!$O$9*Prediction!$B$18/12500*'Degradation Model'!$B$26/Prediction!$B$8</f>
        <v>24.116077297798203</v>
      </c>
      <c r="D58" s="51">
        <f t="shared" si="1"/>
        <v>45.935676372986471</v>
      </c>
      <c r="E58" s="51">
        <f>((Prediction!$O$10-1)*F58*Prediction!$B$10/7)</f>
        <v>7.5371594090846257</v>
      </c>
      <c r="F58" s="51">
        <f t="shared" si="2"/>
        <v>71.1301677935448</v>
      </c>
      <c r="G58" s="51">
        <f t="shared" si="3"/>
        <v>78.667327202629423</v>
      </c>
      <c r="H58" s="51">
        <f t="shared" si="4"/>
        <v>21.332672797370577</v>
      </c>
      <c r="I58" s="25">
        <v>20</v>
      </c>
    </row>
    <row r="59" spans="1:9">
      <c r="A59" s="25">
        <f t="shared" ref="A59:A90" si="8">A58-0.1</f>
        <v>19.899999999999999</v>
      </c>
      <c r="B59" s="51">
        <f>(Prediction!$O$9*Calibration!$B$49*SQRT(I59+Prediction!$F$7-Prediction!$F$9))-((0.32989795*(I59+Prediction!$F$7-Prediction!$F$9)-1.302))</f>
        <v>25.151631744080849</v>
      </c>
      <c r="C59" s="51">
        <f>I59*Calibration!$B$50*Prediction!$O$9*Prediction!$B$18/12500*'Degradation Model'!$B$26/Prediction!$B$8</f>
        <v>23.99549691130921</v>
      </c>
      <c r="D59" s="51">
        <f t="shared" si="1"/>
        <v>45.387249995678076</v>
      </c>
      <c r="E59" s="51">
        <f>((Prediction!$O$10-1)*F59*Prediction!$B$10/7)</f>
        <v>7.4745050195056768</v>
      </c>
      <c r="F59" s="51">
        <f t="shared" si="2"/>
        <v>70.538881739758921</v>
      </c>
      <c r="G59" s="51">
        <f t="shared" si="3"/>
        <v>78.013386759264591</v>
      </c>
      <c r="H59" s="51">
        <f t="shared" si="4"/>
        <v>21.986613240735409</v>
      </c>
      <c r="I59" s="25">
        <f t="shared" ref="I59:I90" si="9">I58-0.1</f>
        <v>19.899999999999999</v>
      </c>
    </row>
    <row r="60" spans="1:9">
      <c r="A60" s="25">
        <f t="shared" si="8"/>
        <v>19.799999999999997</v>
      </c>
      <c r="B60" s="51">
        <f>(Prediction!$O$9*Calibration!$B$49*SQRT(I60+Prediction!$F$7-Prediction!$F$9))-((0.32989795*(I60+Prediction!$F$7-Prediction!$F$9)-1.302))</f>
        <v>25.108582763948498</v>
      </c>
      <c r="C60" s="51">
        <f>I60*Calibration!$B$50*Prediction!$O$9*Prediction!$B$18/12500*'Degradation Model'!$B$26/Prediction!$B$8</f>
        <v>23.874916524820215</v>
      </c>
      <c r="D60" s="51">
        <f t="shared" si="1"/>
        <v>44.854266992136026</v>
      </c>
      <c r="E60" s="51">
        <f>((Prediction!$O$10-1)*F60*Prediction!$B$10/7)</f>
        <v>7.4134669955509631</v>
      </c>
      <c r="F60" s="51">
        <f t="shared" si="2"/>
        <v>69.962849756084523</v>
      </c>
      <c r="G60" s="51">
        <f t="shared" si="3"/>
        <v>77.376316751635486</v>
      </c>
      <c r="H60" s="51">
        <f t="shared" si="4"/>
        <v>22.623683248364514</v>
      </c>
      <c r="I60" s="25">
        <f t="shared" si="9"/>
        <v>19.799999999999997</v>
      </c>
    </row>
    <row r="61" spans="1:9">
      <c r="A61" s="25">
        <f t="shared" si="8"/>
        <v>19.699999999999996</v>
      </c>
      <c r="B61" s="51">
        <f>(Prediction!$O$9*Calibration!$B$49*SQRT(I61+Prediction!$F$7-Prediction!$F$9))-((0.32989795*(I61+Prediction!$F$7-Prediction!$F$9)-1.302))</f>
        <v>25.065343055665085</v>
      </c>
      <c r="C61" s="51">
        <f>I61*Calibration!$B$50*Prediction!$O$9*Prediction!$B$18/12500*'Degradation Model'!$B$26/Prediction!$B$8</f>
        <v>23.754336138331226</v>
      </c>
      <c r="D61" s="51">
        <f t="shared" si="1"/>
        <v>44.335534658463352</v>
      </c>
      <c r="E61" s="51">
        <f>((Prediction!$O$10-1)*F61*Prediction!$B$10/7)</f>
        <v>7.3539188039037038</v>
      </c>
      <c r="F61" s="51">
        <f t="shared" si="2"/>
        <v>69.400877714128441</v>
      </c>
      <c r="G61" s="51">
        <f t="shared" si="3"/>
        <v>76.754796518032151</v>
      </c>
      <c r="H61" s="51">
        <f t="shared" si="4"/>
        <v>23.245203481967849</v>
      </c>
      <c r="I61" s="25">
        <f t="shared" si="9"/>
        <v>19.699999999999996</v>
      </c>
    </row>
    <row r="62" spans="1:9">
      <c r="A62" s="25">
        <f t="shared" si="8"/>
        <v>19.599999999999994</v>
      </c>
      <c r="B62" s="51">
        <f>(Prediction!$O$9*Calibration!$B$49*SQRT(I62+Prediction!$F$7-Prediction!$F$9))-((0.32989795*(I62+Prediction!$F$7-Prediction!$F$9)-1.302))</f>
        <v>25.021911176778893</v>
      </c>
      <c r="C62" s="51">
        <f>I62*Calibration!$B$50*Prediction!$O$9*Prediction!$B$18/12500*'Degradation Model'!$B$26/Prediction!$B$8</f>
        <v>23.633755751842234</v>
      </c>
      <c r="D62" s="51">
        <f t="shared" si="1"/>
        <v>43.830005979250956</v>
      </c>
      <c r="E62" s="51">
        <f>((Prediction!$O$10-1)*F62*Prediction!$B$10/7)</f>
        <v>7.2957493469202968</v>
      </c>
      <c r="F62" s="51">
        <f t="shared" si="2"/>
        <v>68.851917156029856</v>
      </c>
      <c r="G62" s="51">
        <f t="shared" si="3"/>
        <v>76.147666502950159</v>
      </c>
      <c r="H62" s="51">
        <f t="shared" si="4"/>
        <v>23.852333497049841</v>
      </c>
      <c r="I62" s="25">
        <f t="shared" si="9"/>
        <v>19.599999999999994</v>
      </c>
    </row>
    <row r="63" spans="1:9">
      <c r="A63" s="25">
        <f t="shared" si="8"/>
        <v>19.499999999999993</v>
      </c>
      <c r="B63" s="51">
        <f>(Prediction!$O$9*Calibration!$B$49*SQRT(I63+Prediction!$F$7-Prediction!$F$9))-((0.32989795*(I63+Prediction!$F$7-Prediction!$F$9)-1.302))</f>
        <v>24.978285666564215</v>
      </c>
      <c r="C63" s="51">
        <f>I63*Calibration!$B$50*Prediction!$O$9*Prediction!$B$18/12500*'Degradation Model'!$B$26/Prediction!$B$8</f>
        <v>23.513175365353234</v>
      </c>
      <c r="D63" s="51">
        <f t="shared" si="1"/>
        <v>43.336755944799876</v>
      </c>
      <c r="E63" s="51">
        <f>((Prediction!$O$10-1)*F63*Prediction!$B$10/7)</f>
        <v>7.238860453100588</v>
      </c>
      <c r="F63" s="51">
        <f t="shared" si="2"/>
        <v>68.315041611364094</v>
      </c>
      <c r="G63" s="51">
        <f t="shared" si="3"/>
        <v>75.55390206446468</v>
      </c>
      <c r="H63" s="51">
        <f t="shared" si="4"/>
        <v>24.44609793553532</v>
      </c>
      <c r="I63" s="25">
        <f t="shared" si="9"/>
        <v>19.499999999999993</v>
      </c>
    </row>
    <row r="64" spans="1:9">
      <c r="A64" s="25">
        <f t="shared" si="8"/>
        <v>19.399999999999991</v>
      </c>
      <c r="B64" s="51">
        <f>(Prediction!$O$9*Calibration!$B$49*SQRT(I64+Prediction!$F$7-Prediction!$F$9))-((0.32989795*(I64+Prediction!$F$7-Prediction!$F$9)-1.302))</f>
        <v>24.934465045695614</v>
      </c>
      <c r="C64" s="51">
        <f>I64*Calibration!$B$50*Prediction!$O$9*Prediction!$B$18/12500*'Degradation Model'!$B$26/Prediction!$B$8</f>
        <v>23.392594978864246</v>
      </c>
      <c r="D64" s="51">
        <f t="shared" si="1"/>
        <v>42.854962588855635</v>
      </c>
      <c r="E64" s="51">
        <f>((Prediction!$O$10-1)*F64*Prediction!$B$10/7)</f>
        <v>7.1831648677565472</v>
      </c>
      <c r="F64" s="51">
        <f t="shared" si="2"/>
        <v>67.789427634551245</v>
      </c>
      <c r="G64" s="51">
        <f t="shared" si="3"/>
        <v>74.972592502307791</v>
      </c>
      <c r="H64" s="51">
        <f t="shared" si="4"/>
        <v>25.027407497692209</v>
      </c>
      <c r="I64" s="25">
        <f t="shared" si="9"/>
        <v>19.399999999999991</v>
      </c>
    </row>
    <row r="65" spans="1:9">
      <c r="A65" s="25">
        <f t="shared" si="8"/>
        <v>19.29999999999999</v>
      </c>
      <c r="B65" s="51">
        <f>(Prediction!$O$9*Calibration!$B$49*SQRT(I65+Prediction!$F$7-Prediction!$F$9))-((0.32989795*(I65+Prediction!$F$7-Prediction!$F$9)-1.302))</f>
        <v>24.890447815914641</v>
      </c>
      <c r="C65" s="51">
        <f>I65*Calibration!$B$50*Prediction!$O$9*Prediction!$B$18/12500*'Degradation Model'!$B$26/Prediction!$B$8</f>
        <v>23.27201459237525</v>
      </c>
      <c r="D65" s="51">
        <f t="shared" si="1"/>
        <v>42.383891647331524</v>
      </c>
      <c r="E65" s="51">
        <f>((Prediction!$O$10-1)*F65*Prediction!$B$10/7)</f>
        <v>7.1285846273706586</v>
      </c>
      <c r="F65" s="51">
        <f t="shared" si="2"/>
        <v>67.274339463246164</v>
      </c>
      <c r="G65" s="51">
        <f t="shared" si="3"/>
        <v>74.402924090616821</v>
      </c>
      <c r="H65" s="51">
        <f t="shared" si="4"/>
        <v>25.597075909383179</v>
      </c>
      <c r="I65" s="25">
        <f t="shared" si="9"/>
        <v>19.29999999999999</v>
      </c>
    </row>
    <row r="66" spans="1:9">
      <c r="A66" s="25">
        <f t="shared" si="8"/>
        <v>19.199999999999989</v>
      </c>
      <c r="B66" s="51">
        <f>(Prediction!$O$9*Calibration!$B$49*SQRT(I66+Prediction!$F$7-Prediction!$F$9))-((0.32989795*(I66+Prediction!$F$7-Prediction!$F$9)-1.302))</f>
        <v>24.846232459688864</v>
      </c>
      <c r="C66" s="51">
        <f>I66*Calibration!$B$50*Prediction!$O$9*Prediction!$B$18/12500*'Degradation Model'!$B$26/Prediction!$B$8</f>
        <v>23.151434205886257</v>
      </c>
      <c r="D66" s="51">
        <f t="shared" si="1"/>
        <v>41.922884028520585</v>
      </c>
      <c r="E66" s="51">
        <f>((Prediction!$O$10-1)*F66*Prediction!$B$10/7)</f>
        <v>7.0750497318670194</v>
      </c>
      <c r="F66" s="51">
        <f t="shared" si="2"/>
        <v>66.769116488209448</v>
      </c>
      <c r="G66" s="51">
        <f t="shared" si="3"/>
        <v>73.844166220076474</v>
      </c>
      <c r="H66" s="51">
        <f t="shared" si="4"/>
        <v>26.155833779923526</v>
      </c>
      <c r="I66" s="25">
        <f t="shared" si="9"/>
        <v>19.199999999999989</v>
      </c>
    </row>
    <row r="67" spans="1:9">
      <c r="A67" s="25">
        <f t="shared" si="8"/>
        <v>19.099999999999987</v>
      </c>
      <c r="B67" s="51">
        <f>(Prediction!$O$9*Calibration!$B$49*SQRT(I67+Prediction!$F$7-Prediction!$F$9))-((0.32989795*(I67+Prediction!$F$7-Prediction!$F$9)-1.302))</f>
        <v>24.801817439862916</v>
      </c>
      <c r="C67" s="51">
        <f>I67*Calibration!$B$50*Prediction!$O$9*Prediction!$B$18/12500*'Degradation Model'!$B$26/Prediction!$B$8</f>
        <v>23.030853819397269</v>
      </c>
      <c r="D67" s="51">
        <f t="shared" si="1"/>
        <v>41.471345490574627</v>
      </c>
      <c r="E67" s="51">
        <f>((Prediction!$O$10-1)*F67*Prediction!$B$10/7)</f>
        <v>7.0224970507700295</v>
      </c>
      <c r="F67" s="51">
        <f t="shared" si="2"/>
        <v>66.273162930437536</v>
      </c>
      <c r="G67" s="51">
        <f t="shared" si="3"/>
        <v>73.295659981207564</v>
      </c>
      <c r="H67" s="51">
        <f t="shared" si="4"/>
        <v>26.704340018792436</v>
      </c>
      <c r="I67" s="25">
        <f t="shared" si="9"/>
        <v>19.099999999999987</v>
      </c>
    </row>
    <row r="68" spans="1:9">
      <c r="A68" s="25">
        <f t="shared" si="8"/>
        <v>18.999999999999986</v>
      </c>
      <c r="B68" s="51">
        <f>(Prediction!$O$9*Calibration!$B$49*SQRT(I68+Prediction!$F$7-Prediction!$F$9))-((0.32989795*(I68+Prediction!$F$7-Prediction!$F$9)-1.302))</f>
        <v>24.757201199301448</v>
      </c>
      <c r="C68" s="51">
        <f>I68*Calibration!$B$50*Prediction!$O$9*Prediction!$B$18/12500*'Degradation Model'!$B$26/Prediction!$B$8</f>
        <v>22.910273432908276</v>
      </c>
      <c r="D68" s="51">
        <f t="shared" si="1"/>
        <v>41.028738069553135</v>
      </c>
      <c r="E68" s="51">
        <f>((Prediction!$O$10-1)*F68*Prediction!$B$10/7)</f>
        <v>6.9708694148576908</v>
      </c>
      <c r="F68" s="51">
        <f t="shared" si="2"/>
        <v>65.785939268854577</v>
      </c>
      <c r="G68" s="51">
        <f t="shared" si="3"/>
        <v>72.756808683712265</v>
      </c>
      <c r="H68" s="51">
        <f t="shared" si="4"/>
        <v>27.243191316287735</v>
      </c>
      <c r="I68" s="25">
        <f t="shared" si="9"/>
        <v>18.999999999999986</v>
      </c>
    </row>
    <row r="69" spans="1:9">
      <c r="A69" s="25">
        <f t="shared" si="8"/>
        <v>18.899999999999984</v>
      </c>
      <c r="B69" s="51">
        <f>(Prediction!$O$9*Calibration!$B$49*SQRT(I69+Prediction!$F$7-Prediction!$F$9))-((0.32989795*(I69+Prediction!$F$7-Prediction!$F$9)-1.302))</f>
        <v>24.712382160523639</v>
      </c>
      <c r="C69" s="51">
        <f>I69*Calibration!$B$50*Prediction!$O$9*Prediction!$B$18/12500*'Degradation Model'!$B$26/Prediction!$B$8</f>
        <v>22.789693046419281</v>
      </c>
      <c r="D69" s="51">
        <f t="shared" si="1"/>
        <v>40.594572908850566</v>
      </c>
      <c r="E69" s="51">
        <f>((Prediction!$O$10-1)*F69*Prediction!$B$10/7)</f>
        <v>6.9201148563081469</v>
      </c>
      <c r="F69" s="51">
        <f t="shared" si="2"/>
        <v>65.306955069374197</v>
      </c>
      <c r="G69" s="51">
        <f t="shared" si="3"/>
        <v>72.227069925682343</v>
      </c>
      <c r="H69" s="51">
        <f t="shared" si="4"/>
        <v>27.772930074317657</v>
      </c>
      <c r="I69" s="25">
        <f t="shared" si="9"/>
        <v>18.899999999999984</v>
      </c>
    </row>
    <row r="70" spans="1:9">
      <c r="A70" s="25">
        <f t="shared" si="8"/>
        <v>18.799999999999983</v>
      </c>
      <c r="B70" s="51">
        <f>(Prediction!$O$9*Calibration!$B$49*SQRT(I70+Prediction!$F$7-Prediction!$F$9))-((0.32989795*(I70+Prediction!$F$7-Prediction!$F$9)-1.302))</f>
        <v>24.667358725329041</v>
      </c>
      <c r="C70" s="51">
        <f>I70*Calibration!$B$50*Prediction!$O$9*Prediction!$B$18/12500*'Degradation Model'!$B$26/Prediction!$B$8</f>
        <v>22.669112659930288</v>
      </c>
      <c r="D70" s="51">
        <f t="shared" si="1"/>
        <v>40.16840422016233</v>
      </c>
      <c r="E70" s="51">
        <f>((Prediction!$O$10-1)*F70*Prediction!$B$10/7)</f>
        <v>6.8701859687464282</v>
      </c>
      <c r="F70" s="51">
        <f t="shared" si="2"/>
        <v>64.835762945491368</v>
      </c>
      <c r="G70" s="51">
        <f t="shared" si="3"/>
        <v>71.705948914237794</v>
      </c>
      <c r="H70" s="51">
        <f t="shared" si="4"/>
        <v>28.294051085762206</v>
      </c>
      <c r="I70" s="25">
        <f t="shared" si="9"/>
        <v>18.799999999999983</v>
      </c>
    </row>
    <row r="71" spans="1:9">
      <c r="A71" s="25">
        <f t="shared" si="8"/>
        <v>18.699999999999982</v>
      </c>
      <c r="B71" s="51">
        <f>(Prediction!$O$9*Calibration!$B$49*SQRT(I71+Prediction!$F$7-Prediction!$F$9))-((0.32989795*(I71+Prediction!$F$7-Prediction!$F$9)-1.302))</f>
        <v>24.622129274414611</v>
      </c>
      <c r="C71" s="51">
        <f>I71*Calibration!$B$50*Prediction!$O$9*Prediction!$B$18/12500*'Degradation Model'!$B$26/Prediction!$B$8</f>
        <v>22.548532273441296</v>
      </c>
      <c r="D71" s="51">
        <f t="shared" si="1"/>
        <v>39.749824165415504</v>
      </c>
      <c r="E71" s="51">
        <f>((Prediction!$O$10-1)*F71*Prediction!$B$10/7)</f>
        <v>6.8210393648783745</v>
      </c>
      <c r="F71" s="51">
        <f t="shared" si="2"/>
        <v>64.371953439830122</v>
      </c>
      <c r="G71" s="51">
        <f t="shared" si="3"/>
        <v>71.192992804708496</v>
      </c>
      <c r="H71" s="51">
        <f t="shared" si="4"/>
        <v>28.807007195291504</v>
      </c>
      <c r="I71" s="25">
        <f t="shared" si="9"/>
        <v>18.699999999999982</v>
      </c>
    </row>
    <row r="72" spans="1:9">
      <c r="A72" s="25">
        <f t="shared" si="8"/>
        <v>18.59999999999998</v>
      </c>
      <c r="B72" s="51">
        <f>(Prediction!$O$9*Calibration!$B$49*SQRT(I72+Prediction!$F$7-Prediction!$F$9))-((0.32989795*(I72+Prediction!$F$7-Prediction!$F$9)-1.302))</f>
        <v>24.5766921669825</v>
      </c>
      <c r="C72" s="51">
        <f>I72*Calibration!$B$50*Prediction!$O$9*Prediction!$B$18/12500*'Degradation Model'!$B$26/Prediction!$B$8</f>
        <v>22.427951886952304</v>
      </c>
      <c r="D72" s="51">
        <f t="shared" ref="D72:D135" si="10">D73+($C$257*100/H73)</f>
        <v>39.338458493840456</v>
      </c>
      <c r="E72" s="51">
        <f>((Prediction!$O$10-1)*F72*Prediction!$B$10/7)</f>
        <v>6.7726352141404886</v>
      </c>
      <c r="F72" s="51">
        <f t="shared" ref="F72:F135" si="11">B72+D72</f>
        <v>63.91515066082296</v>
      </c>
      <c r="G72" s="51">
        <f t="shared" ref="G72:G135" si="12">F72+E72</f>
        <v>70.687785874963453</v>
      </c>
      <c r="H72" s="51">
        <f t="shared" ref="H72:H135" si="13">IF(100-G72&lt;10,10,100-G72)</f>
        <v>29.312214125036547</v>
      </c>
      <c r="I72" s="25">
        <f t="shared" si="9"/>
        <v>18.59999999999998</v>
      </c>
    </row>
    <row r="73" spans="1:9">
      <c r="A73" s="25">
        <f t="shared" si="8"/>
        <v>18.499999999999979</v>
      </c>
      <c r="B73" s="51">
        <f>(Prediction!$O$9*Calibration!$B$49*SQRT(I73+Prediction!$F$7-Prediction!$F$9))-((0.32989795*(I73+Prediction!$F$7-Prediction!$F$9)-1.302))</f>
        <v>24.531045740338506</v>
      </c>
      <c r="C73" s="51">
        <f>I73*Calibration!$B$50*Prediction!$O$9*Prediction!$B$18/12500*'Degradation Model'!$B$26/Prediction!$B$8</f>
        <v>22.307371500463304</v>
      </c>
      <c r="D73" s="51">
        <f t="shared" si="10"/>
        <v>38.933962802492545</v>
      </c>
      <c r="E73" s="51">
        <f>((Prediction!$O$10-1)*F73*Prediction!$B$10/7)</f>
        <v>6.7249368464114045</v>
      </c>
      <c r="F73" s="51">
        <f t="shared" si="11"/>
        <v>63.46500854283105</v>
      </c>
      <c r="G73" s="51">
        <f t="shared" si="12"/>
        <v>70.189945389242453</v>
      </c>
      <c r="H73" s="51">
        <f t="shared" si="13"/>
        <v>29.810054610757547</v>
      </c>
      <c r="I73" s="25">
        <f t="shared" si="9"/>
        <v>18.499999999999979</v>
      </c>
    </row>
    <row r="74" spans="1:9">
      <c r="A74" s="25">
        <f t="shared" si="8"/>
        <v>18.399999999999977</v>
      </c>
      <c r="B74" s="51">
        <f>(Prediction!$O$9*Calibration!$B$49*SQRT(I74+Prediction!$F$7-Prediction!$F$9))-((0.32989795*(I74+Prediction!$F$7-Prediction!$F$9)-1.302))</f>
        <v>24.485188309480762</v>
      </c>
      <c r="C74" s="51">
        <f>I74*Calibration!$B$50*Prediction!$O$9*Prediction!$B$18/12500*'Degradation Model'!$B$26/Prediction!$B$8</f>
        <v>22.186791113974316</v>
      </c>
      <c r="D74" s="51">
        <f t="shared" si="10"/>
        <v>38.536019314814865</v>
      </c>
      <c r="E74" s="51">
        <f>((Prediction!$O$10-1)*F74*Prediction!$B$10/7)</f>
        <v>6.6779104106154348</v>
      </c>
      <c r="F74" s="51">
        <f t="shared" si="11"/>
        <v>63.021207624295627</v>
      </c>
      <c r="G74" s="51">
        <f t="shared" si="12"/>
        <v>69.699118034911066</v>
      </c>
      <c r="H74" s="51">
        <f t="shared" si="13"/>
        <v>30.300881965088934</v>
      </c>
      <c r="I74" s="25">
        <f t="shared" si="9"/>
        <v>18.399999999999977</v>
      </c>
    </row>
    <row r="75" spans="1:9">
      <c r="A75" s="25">
        <f t="shared" si="8"/>
        <v>18.299999999999976</v>
      </c>
      <c r="B75" s="51">
        <f>(Prediction!$O$9*Calibration!$B$49*SQRT(I75+Prediction!$F$7-Prediction!$F$9))-((0.32989795*(I75+Prediction!$F$7-Prediction!$F$9)-1.302))</f>
        <v>24.439118166678469</v>
      </c>
      <c r="C75" s="51">
        <f>I75*Calibration!$B$50*Prediction!$O$9*Prediction!$B$18/12500*'Degradation Model'!$B$26/Prediction!$B$8</f>
        <v>22.066210727485323</v>
      </c>
      <c r="D75" s="51">
        <f t="shared" si="10"/>
        <v>38.144334092247441</v>
      </c>
      <c r="E75" s="51">
        <f>((Prediction!$O$10-1)*F75*Prediction!$B$10/7)</f>
        <v>6.6315245792119404</v>
      </c>
      <c r="F75" s="51">
        <f t="shared" si="11"/>
        <v>62.583452258925909</v>
      </c>
      <c r="G75" s="51">
        <f t="shared" si="12"/>
        <v>69.214976838137844</v>
      </c>
      <c r="H75" s="51">
        <f t="shared" si="13"/>
        <v>30.785023161862156</v>
      </c>
      <c r="I75" s="25">
        <f t="shared" si="9"/>
        <v>18.299999999999976</v>
      </c>
    </row>
    <row r="76" spans="1:9">
      <c r="A76" s="25">
        <f t="shared" si="8"/>
        <v>18.199999999999974</v>
      </c>
      <c r="B76" s="51">
        <f>(Prediction!$O$9*Calibration!$B$49*SQRT(I76+Prediction!$F$7-Prediction!$F$9))-((0.32989795*(I76+Prediction!$F$7-Prediction!$F$9)-1.302))</f>
        <v>24.392833581040335</v>
      </c>
      <c r="C76" s="51">
        <f>I76*Calibration!$B$50*Prediction!$O$9*Prediction!$B$18/12500*'Degradation Model'!$B$26/Prediction!$B$8</f>
        <v>21.945630340996331</v>
      </c>
      <c r="D76" s="51">
        <f t="shared" si="10"/>
        <v>37.758634609876616</v>
      </c>
      <c r="E76" s="51">
        <f>((Prediction!$O$10-1)*F76*Prediction!$B$10/7)</f>
        <v>6.5857502912583579</v>
      </c>
      <c r="F76" s="51">
        <f t="shared" si="11"/>
        <v>62.151468190916951</v>
      </c>
      <c r="G76" s="51">
        <f t="shared" si="12"/>
        <v>68.737218482175308</v>
      </c>
      <c r="H76" s="51">
        <f t="shared" si="13"/>
        <v>31.262781517824692</v>
      </c>
      <c r="I76" s="25">
        <f t="shared" si="9"/>
        <v>18.199999999999974</v>
      </c>
    </row>
    <row r="77" spans="1:9">
      <c r="A77" s="25">
        <f t="shared" si="8"/>
        <v>18.099999999999973</v>
      </c>
      <c r="B77" s="51">
        <f>(Prediction!$O$9*Calibration!$B$49*SQRT(I77+Prediction!$F$7-Prediction!$F$9))-((0.32989795*(I77+Prediction!$F$7-Prediction!$F$9)-1.302))</f>
        <v>24.346332798072456</v>
      </c>
      <c r="C77" s="51">
        <f>I77*Calibration!$B$50*Prediction!$O$9*Prediction!$B$18/12500*'Degradation Model'!$B$26/Prediction!$B$8</f>
        <v>21.825049954507342</v>
      </c>
      <c r="D77" s="51">
        <f t="shared" si="10"/>
        <v>37.378667639736292</v>
      </c>
      <c r="E77" s="51">
        <f>((Prediction!$O$10-1)*F77*Prediction!$B$10/7)</f>
        <v>6.5405605280717953</v>
      </c>
      <c r="F77" s="51">
        <f t="shared" si="11"/>
        <v>61.725000437808745</v>
      </c>
      <c r="G77" s="51">
        <f t="shared" si="12"/>
        <v>68.265560965880539</v>
      </c>
      <c r="H77" s="51">
        <f t="shared" si="13"/>
        <v>31.734439034119461</v>
      </c>
      <c r="I77" s="25">
        <f t="shared" si="9"/>
        <v>18.099999999999973</v>
      </c>
    </row>
    <row r="78" spans="1:9">
      <c r="A78" s="25">
        <f t="shared" si="8"/>
        <v>17.999999999999972</v>
      </c>
      <c r="B78" s="51">
        <f>(Prediction!$O$9*Calibration!$B$49*SQRT(I78+Prediction!$F$7-Prediction!$F$9))-((0.32989795*(I78+Prediction!$F$7-Prediction!$F$9)-1.302))</f>
        <v>24.299614039225212</v>
      </c>
      <c r="C78" s="51">
        <f>I78*Calibration!$B$50*Prediction!$O$9*Prediction!$B$18/12500*'Degradation Model'!$B$26/Prediction!$B$8</f>
        <v>21.704469568018347</v>
      </c>
      <c r="D78" s="51">
        <f t="shared" si="10"/>
        <v>37.004197395403558</v>
      </c>
      <c r="E78" s="51">
        <f>((Prediction!$O$10-1)*F78*Prediction!$B$10/7)</f>
        <v>6.495930116576984</v>
      </c>
      <c r="F78" s="51">
        <f t="shared" si="11"/>
        <v>61.30381143462877</v>
      </c>
      <c r="G78" s="51">
        <f t="shared" si="12"/>
        <v>67.799741551205756</v>
      </c>
      <c r="H78" s="51">
        <f t="shared" si="13"/>
        <v>32.200258448794244</v>
      </c>
      <c r="I78" s="25">
        <f t="shared" si="9"/>
        <v>17.999999999999972</v>
      </c>
    </row>
    <row r="79" spans="1:9">
      <c r="A79" s="25">
        <f t="shared" si="8"/>
        <v>17.89999999999997</v>
      </c>
      <c r="B79" s="51">
        <f>(Prediction!$O$9*Calibration!$B$49*SQRT(I79+Prediction!$F$7-Prediction!$F$9))-((0.32989795*(I79+Prediction!$F$7-Prediction!$F$9)-1.302))</f>
        <v>24.25267550142901</v>
      </c>
      <c r="C79" s="51">
        <f>I79*Calibration!$B$50*Prediction!$O$9*Prediction!$B$18/12500*'Degradation Model'!$B$26/Prediction!$B$8</f>
        <v>21.583889181529347</v>
      </c>
      <c r="D79" s="51">
        <f t="shared" si="10"/>
        <v>36.635003899559251</v>
      </c>
      <c r="E79" s="51">
        <f>((Prediction!$O$10-1)*F79*Prediction!$B$10/7)</f>
        <v>6.4518355562790433</v>
      </c>
      <c r="F79" s="51">
        <f t="shared" si="11"/>
        <v>60.887679400988262</v>
      </c>
      <c r="G79" s="51">
        <f t="shared" si="12"/>
        <v>67.339514957267312</v>
      </c>
      <c r="H79" s="51">
        <f t="shared" si="13"/>
        <v>32.660485042732688</v>
      </c>
      <c r="I79" s="25">
        <f t="shared" si="9"/>
        <v>17.89999999999997</v>
      </c>
    </row>
    <row r="80" spans="1:9">
      <c r="A80" s="25">
        <f t="shared" si="8"/>
        <v>17.799999999999969</v>
      </c>
      <c r="B80" s="51">
        <f>(Prediction!$O$9*Calibration!$B$49*SQRT(I80+Prediction!$F$7-Prediction!$F$9))-((0.32989795*(I80+Prediction!$F$7-Prediction!$F$9)-1.302))</f>
        <v>24.205515356618349</v>
      </c>
      <c r="C80" s="51">
        <f>I80*Calibration!$B$50*Prediction!$O$9*Prediction!$B$18/12500*'Degradation Model'!$B$26/Prediction!$B$8</f>
        <v>21.463308795040358</v>
      </c>
      <c r="D80" s="51">
        <f t="shared" si="10"/>
        <v>36.27088154265082</v>
      </c>
      <c r="E80" s="51">
        <f>((Prediction!$O$10-1)*F80*Prediction!$B$10/7)</f>
        <v>6.4082548664847874</v>
      </c>
      <c r="F80" s="51">
        <f t="shared" si="11"/>
        <v>60.476396899269169</v>
      </c>
      <c r="G80" s="51">
        <f t="shared" si="12"/>
        <v>66.884651765753958</v>
      </c>
      <c r="H80" s="51">
        <f t="shared" si="13"/>
        <v>33.115348234246042</v>
      </c>
      <c r="I80" s="25">
        <f t="shared" si="9"/>
        <v>17.799999999999969</v>
      </c>
    </row>
    <row r="81" spans="1:9">
      <c r="A81" s="25">
        <f t="shared" si="8"/>
        <v>17.699999999999967</v>
      </c>
      <c r="B81" s="51">
        <f>(Prediction!$O$9*Calibration!$B$49*SQRT(I81+Prediction!$F$7-Prediction!$F$9))-((0.32989795*(I81+Prediction!$F$7-Prediction!$F$9)-1.302))</f>
        <v>24.15813175124401</v>
      </c>
      <c r="C81" s="51">
        <f>I81*Calibration!$B$50*Prediction!$O$9*Prediction!$B$18/12500*'Degradation Model'!$B$26/Prediction!$B$8</f>
        <v>21.342728408551366</v>
      </c>
      <c r="D81" s="51">
        <f t="shared" si="10"/>
        <v>35.911637806035337</v>
      </c>
      <c r="E81" s="51">
        <f>((Prediction!$O$10-1)*F81*Prediction!$B$10/7)</f>
        <v>6.365167450951545</v>
      </c>
      <c r="F81" s="51">
        <f t="shared" si="11"/>
        <v>60.069769557279344</v>
      </c>
      <c r="G81" s="51">
        <f t="shared" si="12"/>
        <v>66.434937008230889</v>
      </c>
      <c r="H81" s="51">
        <f t="shared" si="13"/>
        <v>33.565062991769111</v>
      </c>
      <c r="I81" s="25">
        <f t="shared" si="9"/>
        <v>17.699999999999967</v>
      </c>
    </row>
    <row r="82" spans="1:9">
      <c r="A82" s="25">
        <f t="shared" si="8"/>
        <v>17.599999999999966</v>
      </c>
      <c r="B82" s="51">
        <f>(Prediction!$O$9*Calibration!$B$49*SQRT(I82+Prediction!$F$7-Prediction!$F$9))-((0.32989795*(I82+Prediction!$F$7-Prediction!$F$9)-1.302))</f>
        <v>24.110522805772938</v>
      </c>
      <c r="C82" s="51">
        <f>I82*Calibration!$B$50*Prediction!$O$9*Prediction!$B$18/12500*'Degradation Model'!$B$26/Prediction!$B$8</f>
        <v>21.222148022062374</v>
      </c>
      <c r="D82" s="51">
        <f t="shared" si="10"/>
        <v>35.557092127251813</v>
      </c>
      <c r="E82" s="51">
        <f>((Prediction!$O$10-1)*F82*Prediction!$B$10/7)</f>
        <v>6.322553977595132</v>
      </c>
      <c r="F82" s="51">
        <f t="shared" si="11"/>
        <v>59.667614933024751</v>
      </c>
      <c r="G82" s="51">
        <f t="shared" si="12"/>
        <v>65.990168910619886</v>
      </c>
      <c r="H82" s="51">
        <f t="shared" si="13"/>
        <v>34.009831089380114</v>
      </c>
      <c r="I82" s="25">
        <f t="shared" si="9"/>
        <v>17.599999999999966</v>
      </c>
    </row>
    <row r="83" spans="1:9">
      <c r="A83" s="25">
        <f t="shared" si="8"/>
        <v>17.499999999999964</v>
      </c>
      <c r="B83" s="51">
        <f>(Prediction!$O$9*Calibration!$B$49*SQRT(I83+Prediction!$F$7-Prediction!$F$9))-((0.32989795*(I83+Prediction!$F$7-Prediction!$F$9)-1.302))</f>
        <v>24.062686614175362</v>
      </c>
      <c r="C83" s="51">
        <f>I83*Calibration!$B$50*Prediction!$O$9*Prediction!$B$18/12500*'Degradation Model'!$B$26/Prediction!$B$8</f>
        <v>21.101567635573382</v>
      </c>
      <c r="D83" s="51">
        <f t="shared" si="10"/>
        <v>35.207074888572002</v>
      </c>
      <c r="E83" s="51">
        <f>((Prediction!$O$10-1)*F83*Prediction!$B$10/7)</f>
        <v>6.2803962712593977</v>
      </c>
      <c r="F83" s="51">
        <f t="shared" si="11"/>
        <v>59.269761502747365</v>
      </c>
      <c r="G83" s="51">
        <f t="shared" si="12"/>
        <v>65.550157774006763</v>
      </c>
      <c r="H83" s="51">
        <f t="shared" si="13"/>
        <v>34.449842225993237</v>
      </c>
      <c r="I83" s="25">
        <f t="shared" si="9"/>
        <v>17.499999999999964</v>
      </c>
    </row>
    <row r="84" spans="1:9">
      <c r="A84" s="25">
        <f t="shared" si="8"/>
        <v>17.399999999999963</v>
      </c>
      <c r="B84" s="51">
        <f>(Prediction!$O$9*Calibration!$B$49*SQRT(I84+Prediction!$F$7-Prediction!$F$9))-((0.32989795*(I84+Prediction!$F$7-Prediction!$F$9)-1.302))</f>
        <v>24.014621243398921</v>
      </c>
      <c r="C84" s="51">
        <f>I84*Calibration!$B$50*Prediction!$O$9*Prediction!$B$18/12500*'Degradation Model'!$B$26/Prediction!$B$8</f>
        <v>20.980987249084393</v>
      </c>
      <c r="D84" s="51">
        <f t="shared" si="10"/>
        <v>34.86142651286189</v>
      </c>
      <c r="E84" s="51">
        <f>((Prediction!$O$10-1)*F84*Prediction!$B$10/7)</f>
        <v>6.2386772178553596</v>
      </c>
      <c r="F84" s="51">
        <f t="shared" si="11"/>
        <v>58.87604775626081</v>
      </c>
      <c r="G84" s="51">
        <f t="shared" si="12"/>
        <v>65.114724974116172</v>
      </c>
      <c r="H84" s="51">
        <f t="shared" si="13"/>
        <v>34.885275025883828</v>
      </c>
      <c r="I84" s="25">
        <f t="shared" si="9"/>
        <v>17.399999999999963</v>
      </c>
    </row>
    <row r="85" spans="1:9">
      <c r="A85" s="25">
        <f t="shared" si="8"/>
        <v>17.299999999999962</v>
      </c>
      <c r="B85" s="51">
        <f>(Prediction!$O$9*Calibration!$B$49*SQRT(I85+Prediction!$F$7-Prediction!$F$9))-((0.32989795*(I85+Prediction!$F$7-Prediction!$F$9)-1.302))</f>
        <v>23.966324732829221</v>
      </c>
      <c r="C85" s="51">
        <f>I85*Calibration!$B$50*Prediction!$O$9*Prediction!$B$18/12500*'Degradation Model'!$B$26/Prediction!$B$8</f>
        <v>20.860406862595397</v>
      </c>
      <c r="D85" s="51">
        <f t="shared" si="10"/>
        <v>34.519996653172285</v>
      </c>
      <c r="E85" s="51">
        <f>((Prediction!$O$10-1)*F85*Prediction!$B$10/7)</f>
        <v>6.1973806784307062</v>
      </c>
      <c r="F85" s="51">
        <f t="shared" si="11"/>
        <v>58.486321386001507</v>
      </c>
      <c r="G85" s="51">
        <f t="shared" si="12"/>
        <v>64.683702064432211</v>
      </c>
      <c r="H85" s="51">
        <f t="shared" si="13"/>
        <v>35.316297935567789</v>
      </c>
      <c r="I85" s="25">
        <f t="shared" si="9"/>
        <v>17.299999999999962</v>
      </c>
    </row>
    <row r="86" spans="1:9">
      <c r="A86" s="25">
        <f t="shared" si="8"/>
        <v>17.19999999999996</v>
      </c>
      <c r="B86" s="51">
        <f>(Prediction!$O$9*Calibration!$B$49*SQRT(I86+Prediction!$F$7-Prediction!$F$9))-((0.32989795*(I86+Prediction!$F$7-Prediction!$F$9)-1.302))</f>
        <v>23.917795093736508</v>
      </c>
      <c r="C86" s="51">
        <f>I86*Calibration!$B$50*Prediction!$O$9*Prediction!$B$18/12500*'Degradation Model'!$B$26/Prediction!$B$8</f>
        <v>20.739826476106408</v>
      </c>
      <c r="D86" s="51">
        <f t="shared" si="10"/>
        <v>34.182643464461201</v>
      </c>
      <c r="E86" s="51">
        <f>((Prediction!$O$10-1)*F86*Prediction!$B$10/7)</f>
        <v>6.1564914119407499</v>
      </c>
      <c r="F86" s="51">
        <f t="shared" si="11"/>
        <v>58.100438558197709</v>
      </c>
      <c r="G86" s="51">
        <f t="shared" si="12"/>
        <v>64.256929970138458</v>
      </c>
      <c r="H86" s="51">
        <f t="shared" si="13"/>
        <v>35.743070029861542</v>
      </c>
      <c r="I86" s="25">
        <f t="shared" si="9"/>
        <v>17.19999999999996</v>
      </c>
    </row>
    <row r="87" spans="1:9">
      <c r="A87" s="25">
        <f t="shared" si="8"/>
        <v>17.099999999999959</v>
      </c>
      <c r="B87" s="51">
        <f>(Prediction!$O$9*Calibration!$B$49*SQRT(I87+Prediction!$F$7-Prediction!$F$9))-((0.32989795*(I87+Prediction!$F$7-Prediction!$F$9)-1.302))</f>
        <v>23.869030308707934</v>
      </c>
      <c r="C87" s="51">
        <f>I87*Calibration!$B$50*Prediction!$O$9*Prediction!$B$18/12500*'Degradation Model'!$B$26/Prediction!$B$8</f>
        <v>20.619246089617416</v>
      </c>
      <c r="D87" s="51">
        <f t="shared" si="10"/>
        <v>33.849232947508114</v>
      </c>
      <c r="E87" s="51">
        <f>((Prediction!$O$10-1)*F87*Prediction!$B$10/7)</f>
        <v>6.1159950056675134</v>
      </c>
      <c r="F87" s="51">
        <f t="shared" si="11"/>
        <v>57.718263256216048</v>
      </c>
      <c r="G87" s="51">
        <f t="shared" si="12"/>
        <v>63.834258261883562</v>
      </c>
      <c r="H87" s="51">
        <f t="shared" si="13"/>
        <v>36.165741738116438</v>
      </c>
      <c r="I87" s="25">
        <f t="shared" si="9"/>
        <v>17.099999999999959</v>
      </c>
    </row>
    <row r="88" spans="1:9">
      <c r="A88" s="25">
        <f t="shared" si="8"/>
        <v>16.999999999999957</v>
      </c>
      <c r="B88" s="51">
        <f>(Prediction!$O$9*Calibration!$B$49*SQRT(I88+Prediction!$F$7-Prediction!$F$9))-((0.32989795*(I88+Prediction!$F$7-Prediction!$F$9)-1.302))</f>
        <v>23.820028331065064</v>
      </c>
      <c r="C88" s="51">
        <f>I88*Calibration!$B$50*Prediction!$O$9*Prediction!$B$18/12500*'Degradation Model'!$B$26/Prediction!$B$8</f>
        <v>20.498665703128417</v>
      </c>
      <c r="D88" s="51">
        <f t="shared" si="10"/>
        <v>33.519638356470132</v>
      </c>
      <c r="E88" s="51">
        <f>((Prediction!$O$10-1)*F88*Prediction!$B$10/7)</f>
        <v>6.0758778123809405</v>
      </c>
      <c r="F88" s="51">
        <f t="shared" si="11"/>
        <v>57.3396666875352</v>
      </c>
      <c r="G88" s="51">
        <f t="shared" si="12"/>
        <v>63.415544499916138</v>
      </c>
      <c r="H88" s="51">
        <f t="shared" si="13"/>
        <v>36.584455500083862</v>
      </c>
      <c r="I88" s="25">
        <f t="shared" si="9"/>
        <v>16.999999999999957</v>
      </c>
    </row>
    <row r="89" spans="1:9">
      <c r="A89" s="25">
        <f t="shared" si="8"/>
        <v>16.899999999999956</v>
      </c>
      <c r="B89" s="51">
        <f>(Prediction!$O$9*Calibration!$B$49*SQRT(I89+Prediction!$F$7-Prediction!$F$9))-((0.32989795*(I89+Prediction!$F$7-Prediction!$F$9)-1.302))</f>
        <v>23.770787084266047</v>
      </c>
      <c r="C89" s="51">
        <f>I89*Calibration!$B$50*Prediction!$O$9*Prediction!$B$18/12500*'Degradation Model'!$B$26/Prediction!$B$8</f>
        <v>20.378085316639424</v>
      </c>
      <c r="D89" s="51">
        <f t="shared" si="10"/>
        <v>33.193739662700978</v>
      </c>
      <c r="E89" s="51">
        <f>((Prediction!$O$10-1)*F89*Prediction!$B$10/7)</f>
        <v>6.0361268934602421</v>
      </c>
      <c r="F89" s="51">
        <f t="shared" si="11"/>
        <v>56.964526746967024</v>
      </c>
      <c r="G89" s="51">
        <f t="shared" si="12"/>
        <v>63.000653640427267</v>
      </c>
      <c r="H89" s="51">
        <f t="shared" si="13"/>
        <v>36.999346359572733</v>
      </c>
      <c r="I89" s="25">
        <f t="shared" si="9"/>
        <v>16.899999999999956</v>
      </c>
    </row>
    <row r="90" spans="1:9">
      <c r="A90" s="25">
        <f t="shared" si="8"/>
        <v>16.799999999999955</v>
      </c>
      <c r="B90" s="51">
        <f>(Prediction!$O$9*Calibration!$B$49*SQRT(I90+Prediction!$F$7-Prediction!$F$9))-((0.32989795*(I90+Prediction!$F$7-Prediction!$F$9)-1.302))</f>
        <v>23.721304461291943</v>
      </c>
      <c r="C90" s="51">
        <f>I90*Calibration!$B$50*Prediction!$O$9*Prediction!$B$18/12500*'Degradation Model'!$B$26/Prediction!$B$8</f>
        <v>20.257504930150436</v>
      </c>
      <c r="D90" s="51">
        <f t="shared" si="10"/>
        <v>32.871423068443065</v>
      </c>
      <c r="E90" s="51">
        <f>((Prediction!$O$10-1)*F90*Prediction!$B$10/7)</f>
        <v>5.9967299672982746</v>
      </c>
      <c r="F90" s="51">
        <f t="shared" si="11"/>
        <v>56.592727529735008</v>
      </c>
      <c r="G90" s="51">
        <f t="shared" si="12"/>
        <v>62.58945749703328</v>
      </c>
      <c r="H90" s="51">
        <f t="shared" si="13"/>
        <v>37.41054250296672</v>
      </c>
      <c r="I90" s="25">
        <f t="shared" si="9"/>
        <v>16.799999999999955</v>
      </c>
    </row>
    <row r="91" spans="1:9">
      <c r="A91" s="25">
        <f t="shared" ref="A91:A122" si="14">A90-0.1</f>
        <v>16.699999999999953</v>
      </c>
      <c r="B91" s="51">
        <f>(Prediction!$O$9*Calibration!$B$49*SQRT(I91+Prediction!$F$7-Prediction!$F$9))-((0.32989795*(I91+Prediction!$F$7-Prediction!$F$9)-1.302))</f>
        <v>23.671578324016856</v>
      </c>
      <c r="C91" s="51">
        <f>I91*Calibration!$B$50*Prediction!$O$9*Prediction!$B$18/12500*'Degradation Model'!$B$26/Prediction!$B$8</f>
        <v>20.13692454366144</v>
      </c>
      <c r="D91" s="51">
        <f t="shared" si="10"/>
        <v>32.552580564842813</v>
      </c>
      <c r="E91" s="51">
        <f>((Prediction!$O$10-1)*F91*Prediction!$B$10/7)</f>
        <v>5.9576753624008134</v>
      </c>
      <c r="F91" s="51">
        <f t="shared" si="11"/>
        <v>56.22415888885967</v>
      </c>
      <c r="G91" s="51">
        <f t="shared" si="12"/>
        <v>62.181834251260483</v>
      </c>
      <c r="H91" s="51">
        <f t="shared" si="13"/>
        <v>37.818165748739517</v>
      </c>
      <c r="I91" s="25">
        <f t="shared" ref="I91:I122" si="15">I90-0.1</f>
        <v>16.699999999999953</v>
      </c>
    </row>
    <row r="92" spans="1:9">
      <c r="A92" s="25">
        <f t="shared" si="14"/>
        <v>16.599999999999952</v>
      </c>
      <c r="B92" s="51">
        <f>(Prediction!$O$9*Calibration!$B$49*SQRT(I92+Prediction!$F$7-Prediction!$F$9))-((0.32989795*(I92+Prediction!$F$7-Prediction!$F$9)-1.302))</f>
        <v>23.621606502561118</v>
      </c>
      <c r="C92" s="51">
        <f>I92*Calibration!$B$50*Prediction!$O$9*Prediction!$B$18/12500*'Degradation Model'!$B$26/Prediction!$B$8</f>
        <v>20.016344157172448</v>
      </c>
      <c r="D92" s="51">
        <f t="shared" si="10"/>
        <v>32.237109529454244</v>
      </c>
      <c r="E92" s="51">
        <f>((Prediction!$O$10-1)*F92*Prediction!$B$10/7)</f>
        <v>5.9189519746683183</v>
      </c>
      <c r="F92" s="51">
        <f t="shared" si="11"/>
        <v>55.858716032015366</v>
      </c>
      <c r="G92" s="51">
        <f t="shared" si="12"/>
        <v>61.777668006683683</v>
      </c>
      <c r="H92" s="51">
        <f t="shared" si="13"/>
        <v>38.222331993316317</v>
      </c>
      <c r="I92" s="25">
        <f t="shared" si="15"/>
        <v>16.599999999999952</v>
      </c>
    </row>
    <row r="93" spans="1:9">
      <c r="A93" s="25">
        <f t="shared" si="14"/>
        <v>16.49999999999995</v>
      </c>
      <c r="B93" s="51">
        <f>(Prediction!$O$9*Calibration!$B$49*SQRT(I93+Prediction!$F$7-Prediction!$F$9))-((0.32989795*(I93+Prediction!$F$7-Prediction!$F$9)-1.302))</f>
        <v>23.571386794627145</v>
      </c>
      <c r="C93" s="51">
        <f>I93*Calibration!$B$50*Prediction!$O$9*Prediction!$B$18/12500*'Degradation Model'!$B$26/Prediction!$B$8</f>
        <v>19.895763770683459</v>
      </c>
      <c r="D93" s="51">
        <f t="shared" si="10"/>
        <v>31.924912359006552</v>
      </c>
      <c r="E93" s="51">
        <f>((Prediction!$O$10-1)*F93*Prediction!$B$10/7)</f>
        <v>5.8805492284125549</v>
      </c>
      <c r="F93" s="51">
        <f t="shared" si="11"/>
        <v>55.4962991536337</v>
      </c>
      <c r="G93" s="51">
        <f t="shared" si="12"/>
        <v>61.376848382046255</v>
      </c>
      <c r="H93" s="51">
        <f t="shared" si="13"/>
        <v>38.623151617953745</v>
      </c>
      <c r="I93" s="25">
        <f t="shared" si="15"/>
        <v>16.49999999999995</v>
      </c>
    </row>
    <row r="94" spans="1:9">
      <c r="A94" s="25">
        <f t="shared" si="14"/>
        <v>16.399999999999949</v>
      </c>
      <c r="B94" s="51">
        <f>(Prediction!$O$9*Calibration!$B$49*SQRT(I94+Prediction!$F$7-Prediction!$F$9))-((0.32989795*(I94+Prediction!$F$7-Prediction!$F$9)-1.302))</f>
        <v>23.52091696481731</v>
      </c>
      <c r="C94" s="51">
        <f>I94*Calibration!$B$50*Prediction!$O$9*Prediction!$B$18/12500*'Degradation Model'!$B$26/Prediction!$B$8</f>
        <v>19.77518338419446</v>
      </c>
      <c r="D94" s="51">
        <f t="shared" si="10"/>
        <v>31.615896133735177</v>
      </c>
      <c r="E94" s="51">
        <f>((Prediction!$O$10-1)*F94*Prediction!$B$10/7)</f>
        <v>5.8424570407158454</v>
      </c>
      <c r="F94" s="51">
        <f t="shared" si="11"/>
        <v>55.136813098552487</v>
      </c>
      <c r="G94" s="51">
        <f t="shared" si="12"/>
        <v>60.97927013926833</v>
      </c>
      <c r="H94" s="51">
        <f t="shared" si="13"/>
        <v>39.02072986073167</v>
      </c>
      <c r="I94" s="25">
        <f t="shared" si="15"/>
        <v>16.399999999999949</v>
      </c>
    </row>
    <row r="95" spans="1:9">
      <c r="A95" s="25">
        <f t="shared" si="14"/>
        <v>16.299999999999947</v>
      </c>
      <c r="B95" s="51">
        <f>(Prediction!$O$9*Calibration!$B$49*SQRT(I95+Prediction!$F$7-Prediction!$F$9))-((0.32989795*(I95+Prediction!$F$7-Prediction!$F$9)-1.302))</f>
        <v>23.470194743933245</v>
      </c>
      <c r="C95" s="51">
        <f>I95*Calibration!$B$50*Prediction!$O$9*Prediction!$B$18/12500*'Degradation Model'!$B$26/Prediction!$B$8</f>
        <v>19.654602997705471</v>
      </c>
      <c r="D95" s="51">
        <f t="shared" si="10"/>
        <v>31.309972310025639</v>
      </c>
      <c r="E95" s="51">
        <f>((Prediction!$O$10-1)*F95*Prediction!$B$10/7)</f>
        <v>5.8046657887884825</v>
      </c>
      <c r="F95" s="51">
        <f t="shared" si="11"/>
        <v>54.780167053958884</v>
      </c>
      <c r="G95" s="51">
        <f t="shared" si="12"/>
        <v>60.584832842747367</v>
      </c>
      <c r="H95" s="51">
        <f t="shared" si="13"/>
        <v>39.415167157252633</v>
      </c>
      <c r="I95" s="25">
        <f t="shared" si="15"/>
        <v>16.299999999999947</v>
      </c>
    </row>
    <row r="96" spans="1:9">
      <c r="A96" s="25">
        <f t="shared" si="14"/>
        <v>16.199999999999946</v>
      </c>
      <c r="B96" s="51">
        <f>(Prediction!$O$9*Calibration!$B$49*SQRT(I96+Prediction!$F$7-Prediction!$F$9))-((0.32989795*(I96+Prediction!$F$7-Prediction!$F$9)-1.302))</f>
        <v>23.419217828255931</v>
      </c>
      <c r="C96" s="51">
        <f>I96*Calibration!$B$50*Prediction!$O$9*Prediction!$B$18/12500*'Degradation Model'!$B$26/Prediction!$B$8</f>
        <v>19.534022611216475</v>
      </c>
      <c r="D96" s="51">
        <f t="shared" si="10"/>
        <v>31.007056438507803</v>
      </c>
      <c r="E96" s="51">
        <f>((Prediction!$O$10-1)*F96*Prediction!$B$10/7)</f>
        <v>5.7671662800208798</v>
      </c>
      <c r="F96" s="51">
        <f t="shared" si="11"/>
        <v>54.426274266763734</v>
      </c>
      <c r="G96" s="51">
        <f t="shared" si="12"/>
        <v>60.193440546784615</v>
      </c>
      <c r="H96" s="51">
        <f t="shared" si="13"/>
        <v>39.806559453215385</v>
      </c>
      <c r="I96" s="25">
        <f t="shared" si="15"/>
        <v>16.199999999999946</v>
      </c>
    </row>
    <row r="97" spans="1:9">
      <c r="A97" s="25">
        <f t="shared" si="14"/>
        <v>16.099999999999945</v>
      </c>
      <c r="B97" s="51">
        <f>(Prediction!$O$9*Calibration!$B$49*SQRT(I97+Prediction!$F$7-Prediction!$F$9))-((0.32989795*(I97+Prediction!$F$7-Prediction!$F$9)-1.302))</f>
        <v>23.367983878806026</v>
      </c>
      <c r="C97" s="51">
        <f>I97*Calibration!$B$50*Prediction!$O$9*Prediction!$B$18/12500*'Degradation Model'!$B$26/Prediction!$B$8</f>
        <v>19.413442224727486</v>
      </c>
      <c r="D97" s="51">
        <f t="shared" si="10"/>
        <v>30.707067905073728</v>
      </c>
      <c r="E97" s="51">
        <f>((Prediction!$O$10-1)*F97*Prediction!$B$10/7)</f>
        <v>5.7299497244627009</v>
      </c>
      <c r="F97" s="51">
        <f t="shared" si="11"/>
        <v>54.075051783879758</v>
      </c>
      <c r="G97" s="51">
        <f t="shared" si="12"/>
        <v>59.805001508342457</v>
      </c>
      <c r="H97" s="51">
        <f t="shared" si="13"/>
        <v>40.194998491657543</v>
      </c>
      <c r="I97" s="25">
        <f t="shared" si="15"/>
        <v>16.099999999999945</v>
      </c>
    </row>
    <row r="98" spans="1:9">
      <c r="A98" s="25">
        <f t="shared" si="14"/>
        <v>15.999999999999945</v>
      </c>
      <c r="B98" s="51">
        <f>(Prediction!$O$9*Calibration!$B$49*SQRT(I98+Prediction!$F$7-Prediction!$F$9))-((0.32989795*(I98+Prediction!$F$7-Prediction!$F$9)-1.302))</f>
        <v>23.31649052058361</v>
      </c>
      <c r="C98" s="51">
        <f>I98*Calibration!$B$50*Prediction!$O$9*Prediction!$B$18/12500*'Degradation Model'!$B$26/Prediction!$B$8</f>
        <v>19.292861838238494</v>
      </c>
      <c r="D98" s="51">
        <f t="shared" si="10"/>
        <v>30.409929692583372</v>
      </c>
      <c r="E98" s="51">
        <f>((Prediction!$O$10-1)*F98*Prediction!$B$10/7)</f>
        <v>5.6930077094919422</v>
      </c>
      <c r="F98" s="51">
        <f t="shared" si="11"/>
        <v>53.726420213166982</v>
      </c>
      <c r="G98" s="51">
        <f t="shared" si="12"/>
        <v>59.419427922658926</v>
      </c>
      <c r="H98" s="51">
        <f t="shared" si="13"/>
        <v>40.580572077341074</v>
      </c>
      <c r="I98" s="25">
        <f t="shared" si="15"/>
        <v>15.999999999999945</v>
      </c>
    </row>
    <row r="99" spans="1:9">
      <c r="A99" s="25">
        <f t="shared" si="14"/>
        <v>15.899999999999945</v>
      </c>
      <c r="B99" s="51">
        <f>(Prediction!$O$9*Calibration!$B$49*SQRT(I99+Prediction!$F$7-Prediction!$F$9))-((0.32989795*(I99+Prediction!$F$7-Prediction!$F$9)-1.302))</f>
        <v>23.264735341786761</v>
      </c>
      <c r="C99" s="51">
        <f>I99*Calibration!$B$50*Prediction!$O$9*Prediction!$B$18/12500*'Degradation Model'!$B$26/Prediction!$B$8</f>
        <v>19.172281451749505</v>
      </c>
      <c r="D99" s="51">
        <f t="shared" si="10"/>
        <v>30.115568161275494</v>
      </c>
      <c r="E99" s="51">
        <f>((Prediction!$O$10-1)*F99*Prediction!$B$10/7)</f>
        <v>5.6563321764638292</v>
      </c>
      <c r="F99" s="51">
        <f t="shared" si="11"/>
        <v>53.380303503062251</v>
      </c>
      <c r="G99" s="51">
        <f t="shared" si="12"/>
        <v>59.036635679526078</v>
      </c>
      <c r="H99" s="51">
        <f t="shared" si="13"/>
        <v>40.963364320473922</v>
      </c>
      <c r="I99" s="25">
        <f t="shared" si="15"/>
        <v>15.899999999999945</v>
      </c>
    </row>
    <row r="100" spans="1:9">
      <c r="A100" s="25">
        <f t="shared" si="14"/>
        <v>15.799999999999946</v>
      </c>
      <c r="B100" s="51">
        <f>(Prediction!$O$9*Calibration!$B$49*SQRT(I100+Prediction!$F$7-Prediction!$F$9))-((0.32989795*(I100+Prediction!$F$7-Prediction!$F$9)-1.302))</f>
        <v>23.212715893008202</v>
      </c>
      <c r="C100" s="51">
        <f>I100*Calibration!$B$50*Prediction!$O$9*Prediction!$B$18/12500*'Degradation Model'!$B$26/Prediction!$B$8</f>
        <v>19.051701065260513</v>
      </c>
      <c r="D100" s="51">
        <f t="shared" si="10"/>
        <v>29.823912846121672</v>
      </c>
      <c r="E100" s="51">
        <f>((Prediction!$O$10-1)*F100*Prediction!$B$10/7)</f>
        <v>5.6199153991527409</v>
      </c>
      <c r="F100" s="51">
        <f t="shared" si="11"/>
        <v>53.036628739129874</v>
      </c>
      <c r="G100" s="51">
        <f t="shared" si="12"/>
        <v>58.656544138282612</v>
      </c>
      <c r="H100" s="51">
        <f t="shared" si="13"/>
        <v>41.343455861717388</v>
      </c>
      <c r="I100" s="25">
        <f t="shared" si="15"/>
        <v>15.799999999999946</v>
      </c>
    </row>
    <row r="101" spans="1:9">
      <c r="A101" s="25">
        <f t="shared" si="14"/>
        <v>15.699999999999946</v>
      </c>
      <c r="B101" s="51">
        <f>(Prediction!$O$9*Calibration!$B$49*SQRT(I101+Prediction!$F$7-Prediction!$F$9))-((0.32989795*(I101+Prediction!$F$7-Prediction!$F$9)-1.302))</f>
        <v>23.160429686409262</v>
      </c>
      <c r="C101" s="51">
        <f>I101*Calibration!$B$50*Prediction!$O$9*Prediction!$B$18/12500*'Degradation Model'!$B$26/Prediction!$B$8</f>
        <v>18.931120678771521</v>
      </c>
      <c r="D101" s="51">
        <f t="shared" si="10"/>
        <v>29.534896269554157</v>
      </c>
      <c r="E101" s="51">
        <f>((Prediction!$O$10-1)*F101*Prediction!$B$10/7)</f>
        <v>5.583749963820769</v>
      </c>
      <c r="F101" s="51">
        <f t="shared" si="11"/>
        <v>52.695325955963419</v>
      </c>
      <c r="G101" s="51">
        <f t="shared" si="12"/>
        <v>58.279075919784191</v>
      </c>
      <c r="H101" s="51">
        <f t="shared" si="13"/>
        <v>41.720924080215809</v>
      </c>
      <c r="I101" s="25">
        <f t="shared" si="15"/>
        <v>15.699999999999946</v>
      </c>
    </row>
    <row r="102" spans="1:9">
      <c r="A102" s="25">
        <f t="shared" si="14"/>
        <v>15.599999999999946</v>
      </c>
      <c r="B102" s="51">
        <f>(Prediction!$O$9*Calibration!$B$49*SQRT(I102+Prediction!$F$7-Prediction!$F$9))-((0.32989795*(I102+Prediction!$F$7-Prediction!$F$9)-1.302))</f>
        <v>23.107874194870337</v>
      </c>
      <c r="C102" s="51">
        <f>I102*Calibration!$B$50*Prediction!$O$9*Prediction!$B$18/12500*'Degradation Model'!$B$26/Prediction!$B$8</f>
        <v>18.810540292282532</v>
      </c>
      <c r="D102" s="51">
        <f t="shared" si="10"/>
        <v>29.248453768167074</v>
      </c>
      <c r="E102" s="51">
        <f>((Prediction!$O$10-1)*F102*Prediction!$B$10/7)</f>
        <v>5.5478287507644586</v>
      </c>
      <c r="F102" s="51">
        <f t="shared" si="11"/>
        <v>52.356327963037415</v>
      </c>
      <c r="G102" s="51">
        <f t="shared" si="12"/>
        <v>57.904156713801875</v>
      </c>
      <c r="H102" s="51">
        <f t="shared" si="13"/>
        <v>42.095843286198125</v>
      </c>
      <c r="I102" s="25">
        <f t="shared" si="15"/>
        <v>15.599999999999946</v>
      </c>
    </row>
    <row r="103" spans="1:9">
      <c r="A103" s="25">
        <f t="shared" si="14"/>
        <v>15.499999999999947</v>
      </c>
      <c r="B103" s="51">
        <f>(Prediction!$O$9*Calibration!$B$49*SQRT(I103+Prediction!$F$7-Prediction!$F$9))-((0.32989795*(I103+Prediction!$F$7-Prediction!$F$9)-1.302))</f>
        <v>23.055046851117076</v>
      </c>
      <c r="C103" s="51">
        <f>I103*Calibration!$B$50*Prediction!$O$9*Prediction!$B$18/12500*'Degradation Model'!$B$26/Prediction!$B$8</f>
        <v>18.689959905793543</v>
      </c>
      <c r="D103" s="51">
        <f t="shared" si="10"/>
        <v>28.964523332138832</v>
      </c>
      <c r="E103" s="51">
        <f>((Prediction!$O$10-1)*F103*Prediction!$B$10/7)</f>
        <v>5.5121449172069479</v>
      </c>
      <c r="F103" s="51">
        <f t="shared" si="11"/>
        <v>52.019570183255908</v>
      </c>
      <c r="G103" s="51">
        <f t="shared" si="12"/>
        <v>57.531715100462854</v>
      </c>
      <c r="H103" s="51">
        <f t="shared" si="13"/>
        <v>42.468284899537146</v>
      </c>
      <c r="I103" s="25">
        <f t="shared" si="15"/>
        <v>15.499999999999947</v>
      </c>
    </row>
    <row r="104" spans="1:9">
      <c r="A104" s="25">
        <f t="shared" si="14"/>
        <v>15.399999999999947</v>
      </c>
      <c r="B104" s="51">
        <f>(Prediction!$O$9*Calibration!$B$49*SQRT(I104+Prediction!$F$7-Prediction!$F$9))-((0.32989795*(I104+Prediction!$F$7-Prediction!$F$9)-1.302))</f>
        <v>23.001945046821401</v>
      </c>
      <c r="C104" s="51">
        <f>I104*Calibration!$B$50*Prediction!$O$9*Prediction!$B$18/12500*'Degradation Model'!$B$26/Prediction!$B$8</f>
        <v>18.569379519304551</v>
      </c>
      <c r="D104" s="51">
        <f t="shared" si="10"/>
        <v>28.6830454562539</v>
      </c>
      <c r="E104" s="51">
        <f>((Prediction!$O$10-1)*F104*Prediction!$B$10/7)</f>
        <v>5.4766918814165466</v>
      </c>
      <c r="F104" s="51">
        <f t="shared" si="11"/>
        <v>51.684990503075298</v>
      </c>
      <c r="G104" s="51">
        <f t="shared" si="12"/>
        <v>57.161682384491847</v>
      </c>
      <c r="H104" s="51">
        <f t="shared" si="13"/>
        <v>42.838317615508153</v>
      </c>
      <c r="I104" s="25">
        <f t="shared" si="15"/>
        <v>15.399999999999947</v>
      </c>
    </row>
    <row r="105" spans="1:9">
      <c r="A105" s="25">
        <f t="shared" si="14"/>
        <v>15.299999999999947</v>
      </c>
      <c r="B105" s="51">
        <f>(Prediction!$O$9*Calibration!$B$49*SQRT(I105+Prediction!$F$7-Prediction!$F$9))-((0.32989795*(I105+Prediction!$F$7-Prediction!$F$9)-1.302))</f>
        <v>22.94856613167649</v>
      </c>
      <c r="C105" s="51">
        <f>I105*Calibration!$B$50*Prediction!$O$9*Prediction!$B$18/12500*'Degradation Model'!$B$26/Prediction!$B$8</f>
        <v>18.448799132815559</v>
      </c>
      <c r="D105" s="51">
        <f t="shared" si="10"/>
        <v>28.403963001517251</v>
      </c>
      <c r="E105" s="51">
        <f>((Prediction!$O$10-1)*F105*Prediction!$B$10/7)</f>
        <v>5.4414633079449777</v>
      </c>
      <c r="F105" s="51">
        <f t="shared" si="11"/>
        <v>51.352529133193741</v>
      </c>
      <c r="G105" s="51">
        <f t="shared" si="12"/>
        <v>56.79399244113872</v>
      </c>
      <c r="H105" s="51">
        <f t="shared" si="13"/>
        <v>43.20600755886128</v>
      </c>
      <c r="I105" s="25">
        <f t="shared" si="15"/>
        <v>15.299999999999947</v>
      </c>
    </row>
    <row r="106" spans="1:9">
      <c r="A106" s="25">
        <f t="shared" si="14"/>
        <v>15.199999999999948</v>
      </c>
      <c r="B106" s="51">
        <f>(Prediction!$O$9*Calibration!$B$49*SQRT(I106+Prediction!$F$7-Prediction!$F$9))-((0.32989795*(I106+Prediction!$F$7-Prediction!$F$9)-1.302))</f>
        <v>22.894907412444795</v>
      </c>
      <c r="C106" s="51">
        <f>I106*Calibration!$B$50*Prediction!$O$9*Prediction!$B$18/12500*'Degradation Model'!$B$26/Prediction!$B$8</f>
        <v>18.32821874632657</v>
      </c>
      <c r="D106" s="51">
        <f t="shared" si="10"/>
        <v>28.127221066456279</v>
      </c>
      <c r="E106" s="51">
        <f>((Prediction!$O$10-1)*F106*Prediction!$B$10/7)</f>
        <v>5.4064530938892803</v>
      </c>
      <c r="F106" s="51">
        <f t="shared" si="11"/>
        <v>51.022128478901074</v>
      </c>
      <c r="G106" s="51">
        <f t="shared" si="12"/>
        <v>56.428581572790357</v>
      </c>
      <c r="H106" s="51">
        <f t="shared" si="13"/>
        <v>43.571418427209643</v>
      </c>
      <c r="I106" s="25">
        <f t="shared" si="15"/>
        <v>15.199999999999948</v>
      </c>
    </row>
    <row r="107" spans="1:9">
      <c r="A107" s="25">
        <f t="shared" si="14"/>
        <v>15.099999999999948</v>
      </c>
      <c r="B107" s="51">
        <f>(Prediction!$O$9*Calibration!$B$49*SQRT(I107+Prediction!$F$7-Prediction!$F$9))-((0.32989795*(I107+Prediction!$F$7-Prediction!$F$9)-1.302))</f>
        <v>22.840966151978112</v>
      </c>
      <c r="C107" s="51">
        <f>I107*Calibration!$B$50*Prediction!$O$9*Prediction!$B$18/12500*'Degradation Model'!$B$26/Prediction!$B$8</f>
        <v>18.207638359837581</v>
      </c>
      <c r="D107" s="51">
        <f t="shared" si="10"/>
        <v>27.852766867295092</v>
      </c>
      <c r="E107" s="51">
        <f>((Prediction!$O$10-1)*F107*Prediction!$B$10/7)</f>
        <v>5.3716553560908951</v>
      </c>
      <c r="F107" s="51">
        <f t="shared" si="11"/>
        <v>50.693733019273203</v>
      </c>
      <c r="G107" s="51">
        <f t="shared" si="12"/>
        <v>56.065388375364101</v>
      </c>
      <c r="H107" s="51">
        <f t="shared" si="13"/>
        <v>43.934611624635899</v>
      </c>
      <c r="I107" s="25">
        <f t="shared" si="15"/>
        <v>15.099999999999948</v>
      </c>
    </row>
    <row r="108" spans="1:9">
      <c r="A108" s="25">
        <f t="shared" si="14"/>
        <v>14.999999999999948</v>
      </c>
      <c r="B108" s="51">
        <f>(Prediction!$O$9*Calibration!$B$49*SQRT(I108+Prediction!$F$7-Prediction!$F$9))-((0.32989795*(I108+Prediction!$F$7-Prediction!$F$9)-1.302))</f>
        <v>22.786739568208702</v>
      </c>
      <c r="C108" s="51">
        <f>I108*Calibration!$B$50*Prediction!$O$9*Prediction!$B$18/12500*'Degradation Model'!$B$26/Prediction!$B$8</f>
        <v>18.087057973348589</v>
      </c>
      <c r="D108" s="51">
        <f t="shared" si="10"/>
        <v>27.580549626265778</v>
      </c>
      <c r="E108" s="51">
        <f>((Prediction!$O$10-1)*F108*Prediction!$B$10/7)</f>
        <v>5.337064419193899</v>
      </c>
      <c r="F108" s="51">
        <f t="shared" si="11"/>
        <v>50.36728919447448</v>
      </c>
      <c r="G108" s="51">
        <f t="shared" si="12"/>
        <v>55.704353613668381</v>
      </c>
      <c r="H108" s="51">
        <f t="shared" si="13"/>
        <v>44.295646386331619</v>
      </c>
      <c r="I108" s="25">
        <f t="shared" si="15"/>
        <v>14.999999999999948</v>
      </c>
    </row>
    <row r="109" spans="1:9">
      <c r="A109" s="25">
        <f t="shared" si="14"/>
        <v>14.899999999999949</v>
      </c>
      <c r="B109" s="51">
        <f>(Prediction!$O$9*Calibration!$B$49*SQRT(I109+Prediction!$F$7-Prediction!$F$9))-((0.32989795*(I109+Prediction!$F$7-Prediction!$F$9)-1.302))</f>
        <v>22.732224833110411</v>
      </c>
      <c r="C109" s="51">
        <f>I109*Calibration!$B$50*Prediction!$O$9*Prediction!$B$18/12500*'Degradation Model'!$B$26/Prediction!$B$8</f>
        <v>17.966477586859597</v>
      </c>
      <c r="D109" s="51">
        <f t="shared" si="10"/>
        <v>27.310520467392291</v>
      </c>
      <c r="E109" s="51">
        <f>((Prediction!$O$10-1)*F109*Prediction!$B$10/7)</f>
        <v>5.3026748044918737</v>
      </c>
      <c r="F109" s="51">
        <f t="shared" si="11"/>
        <v>50.042745300502702</v>
      </c>
      <c r="G109" s="51">
        <f t="shared" si="12"/>
        <v>55.345420104994574</v>
      </c>
      <c r="H109" s="51">
        <f t="shared" si="13"/>
        <v>44.654579895005426</v>
      </c>
      <c r="I109" s="25">
        <f t="shared" si="15"/>
        <v>14.899999999999949</v>
      </c>
    </row>
    <row r="110" spans="1:9">
      <c r="A110" s="25">
        <f t="shared" si="14"/>
        <v>14.799999999999949</v>
      </c>
      <c r="B110" s="51">
        <f>(Prediction!$O$9*Calibration!$B$49*SQRT(I110+Prediction!$F$7-Prediction!$F$9))-((0.32989795*(I110+Prediction!$F$7-Prediction!$F$9)-1.302))</f>
        <v>22.67741907162873</v>
      </c>
      <c r="C110" s="51">
        <f>I110*Calibration!$B$50*Prediction!$O$9*Prediction!$B$18/12500*'Degradation Model'!$B$26/Prediction!$B$8</f>
        <v>17.845897200370604</v>
      </c>
      <c r="D110" s="51">
        <f t="shared" si="10"/>
        <v>27.04263231914566</v>
      </c>
      <c r="E110" s="51">
        <f>((Prediction!$O$10-1)*F110*Prediction!$B$10/7)</f>
        <v>5.2684812194996038</v>
      </c>
      <c r="F110" s="51">
        <f t="shared" si="11"/>
        <v>49.720051390774387</v>
      </c>
      <c r="G110" s="51">
        <f t="shared" si="12"/>
        <v>54.988532610273992</v>
      </c>
      <c r="H110" s="51">
        <f t="shared" si="13"/>
        <v>45.011467389726008</v>
      </c>
      <c r="I110" s="25">
        <f t="shared" si="15"/>
        <v>14.799999999999949</v>
      </c>
    </row>
    <row r="111" spans="1:9">
      <c r="A111" s="25">
        <f t="shared" si="14"/>
        <v>14.69999999999995</v>
      </c>
      <c r="B111" s="51">
        <f>(Prediction!$O$9*Calibration!$B$49*SQRT(I111+Prediction!$F$7-Prediction!$F$9))-((0.32989795*(I111+Prediction!$F$7-Prediction!$F$9)-1.302))</f>
        <v>22.622319360578537</v>
      </c>
      <c r="C111" s="51">
        <f>I111*Calibration!$B$50*Prediction!$O$9*Prediction!$B$18/12500*'Degradation Model'!$B$26/Prediction!$B$8</f>
        <v>17.725316813881616</v>
      </c>
      <c r="D111" s="51">
        <f t="shared" si="10"/>
        <v>26.776839823425661</v>
      </c>
      <c r="E111" s="51">
        <f>((Prediction!$O$10-1)*F111*Prediction!$B$10/7)</f>
        <v>5.2344785481917011</v>
      </c>
      <c r="F111" s="51">
        <f t="shared" si="11"/>
        <v>49.399159184004198</v>
      </c>
      <c r="G111" s="51">
        <f t="shared" si="12"/>
        <v>54.633637732195901</v>
      </c>
      <c r="H111" s="51">
        <f t="shared" si="13"/>
        <v>45.366362267804099</v>
      </c>
      <c r="I111" s="25">
        <f t="shared" si="15"/>
        <v>14.69999999999995</v>
      </c>
    </row>
    <row r="112" spans="1:9">
      <c r="A112" s="25">
        <f t="shared" si="14"/>
        <v>14.59999999999995</v>
      </c>
      <c r="B112" s="51">
        <f>(Prediction!$O$9*Calibration!$B$49*SQRT(I112+Prediction!$F$7-Prediction!$F$9))-((0.32989795*(I112+Prediction!$F$7-Prediction!$F$9)-1.302))</f>
        <v>22.566922727508484</v>
      </c>
      <c r="C112" s="51">
        <f>I112*Calibration!$B$50*Prediction!$O$9*Prediction!$B$18/12500*'Degradation Model'!$B$26/Prediction!$B$8</f>
        <v>17.604736427392627</v>
      </c>
      <c r="D112" s="51">
        <f t="shared" si="10"/>
        <v>26.513099250374328</v>
      </c>
      <c r="E112" s="51">
        <f>((Prediction!$O$10-1)*F112*Prediction!$B$10/7)</f>
        <v>5.2006618418556707</v>
      </c>
      <c r="F112" s="51">
        <f t="shared" si="11"/>
        <v>49.080021977882808</v>
      </c>
      <c r="G112" s="51">
        <f t="shared" si="12"/>
        <v>54.280683819738478</v>
      </c>
      <c r="H112" s="51">
        <f t="shared" si="13"/>
        <v>45.719316180261522</v>
      </c>
      <c r="I112" s="25">
        <f t="shared" si="15"/>
        <v>14.59999999999995</v>
      </c>
    </row>
    <row r="113" spans="1:9">
      <c r="A113" s="25">
        <f t="shared" si="14"/>
        <v>14.49999999999995</v>
      </c>
      <c r="B113" s="51">
        <f>(Prediction!$O$9*Calibration!$B$49*SQRT(I113+Prediction!$F$7-Prediction!$F$9))-((0.32989795*(I113+Prediction!$F$7-Prediction!$F$9)-1.302))</f>
        <v>22.511226149530636</v>
      </c>
      <c r="C113" s="51">
        <f>I113*Calibration!$B$50*Prediction!$O$9*Prediction!$B$18/12500*'Degradation Model'!$B$26/Prediction!$B$8</f>
        <v>17.484156040903638</v>
      </c>
      <c r="D113" s="51">
        <f t="shared" si="10"/>
        <v>26.251368418571818</v>
      </c>
      <c r="E113" s="51">
        <f>((Prediction!$O$10-1)*F113*Prediction!$B$10/7)</f>
        <v>5.1670263105116208</v>
      </c>
      <c r="F113" s="51">
        <f t="shared" si="11"/>
        <v>48.762594568102458</v>
      </c>
      <c r="G113" s="51">
        <f t="shared" si="12"/>
        <v>53.929620878614081</v>
      </c>
      <c r="H113" s="51">
        <f t="shared" si="13"/>
        <v>46.070379121385919</v>
      </c>
      <c r="I113" s="25">
        <f t="shared" si="15"/>
        <v>14.49999999999995</v>
      </c>
    </row>
    <row r="114" spans="1:9">
      <c r="A114" s="25">
        <f t="shared" si="14"/>
        <v>14.399999999999951</v>
      </c>
      <c r="B114" s="51">
        <f>(Prediction!$O$9*Calibration!$B$49*SQRT(I114+Prediction!$F$7-Prediction!$F$9))-((0.32989795*(I114+Prediction!$F$7-Prediction!$F$9)-1.302))</f>
        <v>22.455226552114166</v>
      </c>
      <c r="C114" s="51">
        <f>I114*Calibration!$B$50*Prediction!$O$9*Prediction!$B$18/12500*'Degradation Model'!$B$26/Prediction!$B$8</f>
        <v>17.363575654414642</v>
      </c>
      <c r="D114" s="51">
        <f t="shared" si="10"/>
        <v>25.991606620205467</v>
      </c>
      <c r="E114" s="51">
        <f>((Prediction!$O$10-1)*F114*Prediction!$B$10/7)</f>
        <v>5.1335673148551217</v>
      </c>
      <c r="F114" s="51">
        <f t="shared" si="11"/>
        <v>48.446833172319629</v>
      </c>
      <c r="G114" s="51">
        <f t="shared" si="12"/>
        <v>53.580400487174749</v>
      </c>
      <c r="H114" s="51">
        <f t="shared" si="13"/>
        <v>46.419599512825251</v>
      </c>
      <c r="I114" s="25">
        <f t="shared" si="15"/>
        <v>14.399999999999951</v>
      </c>
    </row>
    <row r="115" spans="1:9">
      <c r="A115" s="25">
        <f t="shared" si="14"/>
        <v>14.299999999999951</v>
      </c>
      <c r="B115" s="51">
        <f>(Prediction!$O$9*Calibration!$B$49*SQRT(I115+Prediction!$F$7-Prediction!$F$9))-((0.32989795*(I115+Prediction!$F$7-Prediction!$F$9)-1.302))</f>
        <v>22.398920807841659</v>
      </c>
      <c r="C115" s="51">
        <f>I115*Calibration!$B$50*Prediction!$O$9*Prediction!$B$18/12500*'Degradation Model'!$B$26/Prediction!$B$8</f>
        <v>17.242995267925654</v>
      </c>
      <c r="D115" s="51">
        <f t="shared" si="10"/>
        <v>25.73377455083914</v>
      </c>
      <c r="E115" s="51">
        <f>((Prediction!$O$10-1)*F115*Prediction!$B$10/7)</f>
        <v>5.1002803586835936</v>
      </c>
      <c r="F115" s="51">
        <f t="shared" si="11"/>
        <v>48.132695358680799</v>
      </c>
      <c r="G115" s="51">
        <f t="shared" si="12"/>
        <v>53.23297571736439</v>
      </c>
      <c r="H115" s="51">
        <f t="shared" si="13"/>
        <v>46.76702428263561</v>
      </c>
      <c r="I115" s="25">
        <f t="shared" si="15"/>
        <v>14.299999999999951</v>
      </c>
    </row>
    <row r="116" spans="1:9">
      <c r="A116" s="25">
        <f t="shared" si="14"/>
        <v>14.199999999999951</v>
      </c>
      <c r="B116" s="51">
        <f>(Prediction!$O$9*Calibration!$B$49*SQRT(I116+Prediction!$F$7-Prediction!$F$9))-((0.32989795*(I116+Prediction!$F$7-Prediction!$F$9)-1.302))</f>
        <v>22.342305735126661</v>
      </c>
      <c r="C116" s="51">
        <f>I116*Calibration!$B$50*Prediction!$O$9*Prediction!$B$18/12500*'Degradation Model'!$B$26/Prediction!$B$8</f>
        <v>17.122414881436665</v>
      </c>
      <c r="D116" s="51">
        <f t="shared" si="10"/>
        <v>25.477834243442604</v>
      </c>
      <c r="E116" s="51">
        <f>((Prediction!$O$10-1)*F116*Prediction!$B$10/7)</f>
        <v>5.0671610817699602</v>
      </c>
      <c r="F116" s="51">
        <f t="shared" si="11"/>
        <v>47.820139978569266</v>
      </c>
      <c r="G116" s="51">
        <f t="shared" si="12"/>
        <v>52.887301060339226</v>
      </c>
      <c r="H116" s="51">
        <f t="shared" si="13"/>
        <v>47.112698939660774</v>
      </c>
      <c r="I116" s="25">
        <f t="shared" si="15"/>
        <v>14.199999999999951</v>
      </c>
    </row>
    <row r="117" spans="1:9">
      <c r="A117" s="25">
        <f t="shared" si="14"/>
        <v>14.099999999999952</v>
      </c>
      <c r="B117" s="51">
        <f>(Prediction!$O$9*Calibration!$B$49*SQRT(I117+Prediction!$F$7-Prediction!$F$9))-((0.32989795*(I117+Prediction!$F$7-Prediction!$F$9)-1.302))</f>
        <v>22.285378096890984</v>
      </c>
      <c r="C117" s="51">
        <f>I117*Calibration!$B$50*Prediction!$O$9*Prediction!$B$18/12500*'Degradation Model'!$B$26/Prediction!$B$8</f>
        <v>17.001834494947676</v>
      </c>
      <c r="D117" s="51">
        <f t="shared" si="10"/>
        <v>25.223749006369996</v>
      </c>
      <c r="E117" s="51">
        <f>((Prediction!$O$10-1)*F117*Prediction!$B$10/7)</f>
        <v>5.0342052531505166</v>
      </c>
      <c r="F117" s="51">
        <f t="shared" si="11"/>
        <v>47.50912710326098</v>
      </c>
      <c r="G117" s="51">
        <f t="shared" si="12"/>
        <v>52.543332356411497</v>
      </c>
      <c r="H117" s="51">
        <f t="shared" si="13"/>
        <v>47.456667643588503</v>
      </c>
      <c r="I117" s="25">
        <f t="shared" si="15"/>
        <v>14.099999999999952</v>
      </c>
    </row>
    <row r="118" spans="1:9">
      <c r="A118" s="25">
        <f t="shared" si="14"/>
        <v>13.999999999999952</v>
      </c>
      <c r="B118" s="51">
        <f>(Prediction!$O$9*Calibration!$B$49*SQRT(I118+Prediction!$F$7-Prediction!$F$9))-((0.32989795*(I118+Prediction!$F$7-Prediction!$F$9)-1.302))</f>
        <v>22.228134599200157</v>
      </c>
      <c r="C118" s="51">
        <f>I118*Calibration!$B$50*Prediction!$O$9*Prediction!$B$18/12500*'Degradation Model'!$B$26/Prediction!$B$8</f>
        <v>16.88125410845868</v>
      </c>
      <c r="D118" s="51">
        <f t="shared" si="10"/>
        <v>24.971483365002907</v>
      </c>
      <c r="E118" s="51">
        <f>((Prediction!$O$10-1)*F118*Prediction!$B$10/7)</f>
        <v>5.001408764796671</v>
      </c>
      <c r="F118" s="51">
        <f t="shared" si="11"/>
        <v>47.199617964203064</v>
      </c>
      <c r="G118" s="51">
        <f t="shared" si="12"/>
        <v>52.201026728999736</v>
      </c>
      <c r="H118" s="51">
        <f t="shared" si="13"/>
        <v>47.798973271000264</v>
      </c>
      <c r="I118" s="25">
        <f t="shared" si="15"/>
        <v>13.999999999999952</v>
      </c>
    </row>
    <row r="119" spans="1:9">
      <c r="A119" s="25">
        <f t="shared" si="14"/>
        <v>13.899999999999952</v>
      </c>
      <c r="B119" s="51">
        <f>(Prediction!$O$9*Calibration!$B$49*SQRT(I119+Prediction!$F$7-Prediction!$F$9))-((0.32989795*(I119+Prediction!$F$7-Prediction!$F$9)-1.302))</f>
        <v>22.170571889855424</v>
      </c>
      <c r="C119" s="51">
        <f>I119*Calibration!$B$50*Prediction!$O$9*Prediction!$B$18/12500*'Degradation Model'!$B$26/Prediction!$B$8</f>
        <v>16.760673721969692</v>
      </c>
      <c r="D119" s="51">
        <f t="shared" si="10"/>
        <v>24.721003006797577</v>
      </c>
      <c r="E119" s="51">
        <f>((Prediction!$O$10-1)*F119*Prediction!$B$10/7)</f>
        <v>4.9687676256427862</v>
      </c>
      <c r="F119" s="51">
        <f t="shared" si="11"/>
        <v>46.891574896652997</v>
      </c>
      <c r="G119" s="51">
        <f t="shared" si="12"/>
        <v>51.860342522295781</v>
      </c>
      <c r="H119" s="51">
        <f t="shared" si="13"/>
        <v>48.139657477704219</v>
      </c>
      <c r="I119" s="25">
        <f t="shared" si="15"/>
        <v>13.899999999999952</v>
      </c>
    </row>
    <row r="120" spans="1:9">
      <c r="A120" s="25">
        <f t="shared" si="14"/>
        <v>13.799999999999953</v>
      </c>
      <c r="B120" s="51">
        <f>(Prediction!$O$9*Calibration!$B$49*SQRT(I120+Prediction!$F$7-Prediction!$F$9))-((0.32989795*(I120+Prediction!$F$7-Prediction!$F$9)-1.302))</f>
        <v>22.112686556940655</v>
      </c>
      <c r="C120" s="51">
        <f>I120*Calibration!$B$50*Prediction!$O$9*Prediction!$B$18/12500*'Degradation Model'!$B$26/Prediction!$B$8</f>
        <v>16.640093335480699</v>
      </c>
      <c r="D120" s="51">
        <f t="shared" si="10"/>
        <v>24.472274729497244</v>
      </c>
      <c r="E120" s="51">
        <f>((Prediction!$O$10-1)*F120*Prediction!$B$10/7)</f>
        <v>4.9362779559446386</v>
      </c>
      <c r="F120" s="51">
        <f t="shared" si="11"/>
        <v>46.584961286437903</v>
      </c>
      <c r="G120" s="51">
        <f t="shared" si="12"/>
        <v>51.521239242382542</v>
      </c>
      <c r="H120" s="51">
        <f t="shared" si="13"/>
        <v>48.478760757617458</v>
      </c>
      <c r="I120" s="25">
        <f t="shared" si="15"/>
        <v>13.799999999999953</v>
      </c>
    </row>
    <row r="121" spans="1:9">
      <c r="A121" s="25">
        <f t="shared" si="14"/>
        <v>13.699999999999953</v>
      </c>
      <c r="B121" s="51">
        <f>(Prediction!$O$9*Calibration!$B$49*SQRT(I121+Prediction!$F$7-Prediction!$F$9))-((0.32989795*(I121+Prediction!$F$7-Prediction!$F$9)-1.302))</f>
        <v>22.054475127322281</v>
      </c>
      <c r="C121" s="51">
        <f>I121*Calibration!$B$50*Prediction!$O$9*Prediction!$B$18/12500*'Degradation Model'!$B$26/Prediction!$B$8</f>
        <v>16.519512948991711</v>
      </c>
      <c r="D121" s="51">
        <f t="shared" si="10"/>
        <v>24.225266392290319</v>
      </c>
      <c r="E121" s="51">
        <f>((Prediction!$O$10-1)*F121*Prediction!$B$10/7)</f>
        <v>4.9039359819450397</v>
      </c>
      <c r="F121" s="51">
        <f t="shared" si="11"/>
        <v>46.2797415196126</v>
      </c>
      <c r="G121" s="51">
        <f t="shared" si="12"/>
        <v>51.183677501557639</v>
      </c>
      <c r="H121" s="51">
        <f t="shared" si="13"/>
        <v>48.816322498442361</v>
      </c>
      <c r="I121" s="25">
        <f t="shared" si="15"/>
        <v>13.699999999999953</v>
      </c>
    </row>
    <row r="122" spans="1:9">
      <c r="A122" s="25">
        <f t="shared" si="14"/>
        <v>13.599999999999953</v>
      </c>
      <c r="B122" s="51">
        <f>(Prediction!$O$9*Calibration!$B$49*SQRT(I122+Prediction!$F$7-Prediction!$F$9))-((0.32989795*(I122+Prediction!$F$7-Prediction!$F$9)-1.302))</f>
        <v>21.9959340651004</v>
      </c>
      <c r="C122" s="51">
        <f>I122*Calibration!$B$50*Prediction!$O$9*Prediction!$B$18/12500*'Degradation Model'!$B$26/Prediction!$B$8</f>
        <v>16.398932562502718</v>
      </c>
      <c r="D122" s="51">
        <f t="shared" si="10"/>
        <v>23.979946869712812</v>
      </c>
      <c r="E122" s="51">
        <f>((Prediction!$O$10-1)*F122*Prediction!$B$10/7)</f>
        <v>4.8717380308250853</v>
      </c>
      <c r="F122" s="51">
        <f t="shared" si="11"/>
        <v>45.975880934813212</v>
      </c>
      <c r="G122" s="51">
        <f t="shared" si="12"/>
        <v>50.847618965638297</v>
      </c>
      <c r="H122" s="51">
        <f t="shared" si="13"/>
        <v>49.152381034361703</v>
      </c>
      <c r="I122" s="25">
        <f t="shared" si="15"/>
        <v>13.599999999999953</v>
      </c>
    </row>
    <row r="123" spans="1:9">
      <c r="A123" s="25">
        <f t="shared" ref="A123:A154" si="16">A122-0.1</f>
        <v>13.499999999999954</v>
      </c>
      <c r="B123" s="51">
        <f>(Prediction!$O$9*Calibration!$B$49*SQRT(I123+Prediction!$F$7-Prediction!$F$9))-((0.32989795*(I123+Prediction!$F$7-Prediction!$F$9)-1.302))</f>
        <v>21.93705977000922</v>
      </c>
      <c r="C123" s="51">
        <f>I123*Calibration!$B$50*Prediction!$O$9*Prediction!$B$18/12500*'Degradation Model'!$B$26/Prediction!$B$8</f>
        <v>16.27835217601373</v>
      </c>
      <c r="D123" s="51">
        <f t="shared" si="10"/>
        <v>23.736286008109516</v>
      </c>
      <c r="E123" s="51">
        <f>((Prediction!$O$10-1)*F123*Prediction!$B$10/7)</f>
        <v>4.8396805259211595</v>
      </c>
      <c r="F123" s="51">
        <f t="shared" si="11"/>
        <v>45.673345778118737</v>
      </c>
      <c r="G123" s="51">
        <f t="shared" si="12"/>
        <v>50.513026304039897</v>
      </c>
      <c r="H123" s="51">
        <f t="shared" si="13"/>
        <v>49.486973695960103</v>
      </c>
      <c r="I123" s="25">
        <f t="shared" ref="I123:I154" si="17">I122-0.1</f>
        <v>13.499999999999954</v>
      </c>
    </row>
    <row r="124" spans="1:9">
      <c r="A124" s="25">
        <f t="shared" si="16"/>
        <v>13.399999999999954</v>
      </c>
      <c r="B124" s="51">
        <f>(Prediction!$O$9*Calibration!$B$49*SQRT(I124+Prediction!$F$7-Prediction!$F$9))-((0.32989795*(I124+Prediction!$F$7-Prediction!$F$9)-1.302))</f>
        <v>21.87784857576461</v>
      </c>
      <c r="C124" s="51">
        <f>I124*Calibration!$B$50*Prediction!$O$9*Prediction!$B$18/12500*'Degradation Model'!$B$26/Prediction!$B$8</f>
        <v>16.157771789524737</v>
      </c>
      <c r="D124" s="51">
        <f t="shared" si="10"/>
        <v>23.49425458448313</v>
      </c>
      <c r="E124" s="51">
        <f>((Prediction!$O$10-1)*F124*Prediction!$B$10/7)</f>
        <v>4.8077599821893662</v>
      </c>
      <c r="F124" s="51">
        <f t="shared" si="11"/>
        <v>45.37210316024774</v>
      </c>
      <c r="G124" s="51">
        <f t="shared" si="12"/>
        <v>50.179863142437107</v>
      </c>
      <c r="H124" s="51">
        <f t="shared" si="13"/>
        <v>49.820136857562893</v>
      </c>
      <c r="I124" s="25">
        <f t="shared" si="17"/>
        <v>13.399999999999954</v>
      </c>
    </row>
    <row r="125" spans="1:9">
      <c r="A125" s="25">
        <f t="shared" si="16"/>
        <v>13.299999999999955</v>
      </c>
      <c r="B125" s="51">
        <f>(Prediction!$O$9*Calibration!$B$49*SQRT(I125+Prediction!$F$7-Prediction!$F$9))-((0.32989795*(I125+Prediction!$F$7-Prediction!$F$9)-1.302))</f>
        <v>21.818296748356783</v>
      </c>
      <c r="C125" s="51">
        <f>I125*Calibration!$B$50*Prediction!$O$9*Prediction!$B$18/12500*'Degradation Model'!$B$26/Prediction!$B$8</f>
        <v>16.037191403035749</v>
      </c>
      <c r="D125" s="51">
        <f t="shared" si="10"/>
        <v>23.253824267573851</v>
      </c>
      <c r="E125" s="51">
        <f>((Prediction!$O$10-1)*F125*Prediction!$B$10/7)</f>
        <v>4.7759730019005016</v>
      </c>
      <c r="F125" s="51">
        <f t="shared" si="11"/>
        <v>45.072121015930634</v>
      </c>
      <c r="G125" s="51">
        <f t="shared" si="12"/>
        <v>49.848094017831137</v>
      </c>
      <c r="H125" s="51">
        <f t="shared" si="13"/>
        <v>50.151905982168863</v>
      </c>
      <c r="I125" s="25">
        <f t="shared" si="17"/>
        <v>13.299999999999955</v>
      </c>
    </row>
    <row r="126" spans="1:9">
      <c r="A126" s="25">
        <f t="shared" si="16"/>
        <v>13.199999999999955</v>
      </c>
      <c r="B126" s="51">
        <f>(Prediction!$O$9*Calibration!$B$49*SQRT(I126+Prediction!$F$7-Prediction!$F$9))-((0.32989795*(I126+Prediction!$F$7-Prediction!$F$9)-1.302))</f>
        <v>21.75840048428573</v>
      </c>
      <c r="C126" s="51">
        <f>I126*Calibration!$B$50*Prediction!$O$9*Prediction!$B$18/12500*'Degradation Model'!$B$26/Prediction!$B$8</f>
        <v>15.916611016546758</v>
      </c>
      <c r="D126" s="51">
        <f t="shared" si="10"/>
        <v>23.014967581024059</v>
      </c>
      <c r="E126" s="51">
        <f>((Prediction!$O$10-1)*F126*Prediction!$B$10/7)</f>
        <v>4.7443162705498958</v>
      </c>
      <c r="F126" s="51">
        <f t="shared" si="11"/>
        <v>44.773368065309789</v>
      </c>
      <c r="G126" s="51">
        <f t="shared" si="12"/>
        <v>49.517684335859684</v>
      </c>
      <c r="H126" s="51">
        <f t="shared" si="13"/>
        <v>50.482315664140316</v>
      </c>
      <c r="I126" s="25">
        <f t="shared" si="17"/>
        <v>13.199999999999955</v>
      </c>
    </row>
    <row r="127" spans="1:9">
      <c r="A127" s="25">
        <f t="shared" si="16"/>
        <v>13.099999999999955</v>
      </c>
      <c r="B127" s="51">
        <f>(Prediction!$O$9*Calibration!$B$49*SQRT(I127+Prediction!$F$7-Prediction!$F$9))-((0.32989795*(I127+Prediction!$F$7-Prediction!$F$9)-1.302))</f>
        <v>21.698155908737132</v>
      </c>
      <c r="C127" s="51">
        <f>I127*Calibration!$B$50*Prediction!$O$9*Prediction!$B$18/12500*'Degradation Model'!$B$26/Prediction!$B$8</f>
        <v>15.796030630057768</v>
      </c>
      <c r="D127" s="51">
        <f t="shared" si="10"/>
        <v>22.777657868493868</v>
      </c>
      <c r="E127" s="51">
        <f>((Prediction!$O$10-1)*F127*Prediction!$B$10/7)</f>
        <v>4.7127865529676738</v>
      </c>
      <c r="F127" s="51">
        <f t="shared" si="11"/>
        <v>44.475813777230996</v>
      </c>
      <c r="G127" s="51">
        <f t="shared" si="12"/>
        <v>49.188600330198668</v>
      </c>
      <c r="H127" s="51">
        <f t="shared" si="13"/>
        <v>50.811399669801332</v>
      </c>
      <c r="I127" s="25">
        <f t="shared" si="17"/>
        <v>13.099999999999955</v>
      </c>
    </row>
    <row r="128" spans="1:9">
      <c r="A128" s="25">
        <f t="shared" si="16"/>
        <v>12.999999999999956</v>
      </c>
      <c r="B128" s="51">
        <f>(Prediction!$O$9*Calibration!$B$49*SQRT(I128+Prediction!$F$7-Prediction!$F$9))-((0.32989795*(I128+Prediction!$F$7-Prediction!$F$9)-1.302))</f>
        <v>21.637559073696234</v>
      </c>
      <c r="C128" s="51">
        <f>I128*Calibration!$B$50*Prediction!$O$9*Prediction!$B$18/12500*'Degradation Model'!$B$26/Prediction!$B$8</f>
        <v>15.675450243568775</v>
      </c>
      <c r="D128" s="51">
        <f t="shared" si="10"/>
        <v>22.54186926060337</v>
      </c>
      <c r="E128" s="51">
        <f>((Prediction!$O$10-1)*F128*Prediction!$B$10/7)</f>
        <v>4.6813806896159944</v>
      </c>
      <c r="F128" s="51">
        <f t="shared" si="11"/>
        <v>44.179428334299601</v>
      </c>
      <c r="G128" s="51">
        <f t="shared" si="12"/>
        <v>48.860809023915593</v>
      </c>
      <c r="H128" s="51">
        <f t="shared" si="13"/>
        <v>51.139190976084407</v>
      </c>
      <c r="I128" s="25">
        <f t="shared" si="17"/>
        <v>12.999999999999956</v>
      </c>
    </row>
    <row r="129" spans="1:9">
      <c r="A129" s="25">
        <f t="shared" si="16"/>
        <v>12.899999999999956</v>
      </c>
      <c r="B129" s="51">
        <f>(Prediction!$O$9*Calibration!$B$49*SQRT(I129+Prediction!$F$7-Prediction!$F$9))-((0.32989795*(I129+Prediction!$F$7-Prediction!$F$9)-1.302))</f>
        <v>21.576605955997103</v>
      </c>
      <c r="C129" s="51">
        <f>I129*Calibration!$B$50*Prediction!$O$9*Prediction!$B$18/12500*'Degradation Model'!$B$26/Prediction!$B$8</f>
        <v>15.554869857079787</v>
      </c>
      <c r="D129" s="51">
        <f t="shared" si="10"/>
        <v>22.3075766435867</v>
      </c>
      <c r="E129" s="51">
        <f>((Prediction!$O$10-1)*F129*Prediction!$B$10/7)</f>
        <v>4.6500955930608416</v>
      </c>
      <c r="F129" s="51">
        <f t="shared" si="11"/>
        <v>43.884182599583802</v>
      </c>
      <c r="G129" s="51">
        <f t="shared" si="12"/>
        <v>48.534278192644642</v>
      </c>
      <c r="H129" s="51">
        <f t="shared" si="13"/>
        <v>51.465721807355358</v>
      </c>
      <c r="I129" s="25">
        <f t="shared" si="17"/>
        <v>12.899999999999956</v>
      </c>
    </row>
    <row r="130" spans="1:9">
      <c r="A130" s="25">
        <f t="shared" si="16"/>
        <v>12.799999999999956</v>
      </c>
      <c r="B130" s="51">
        <f>(Prediction!$O$9*Calibration!$B$49*SQRT(I130+Prediction!$F$7-Prediction!$F$9))-((0.32989795*(I130+Prediction!$F$7-Prediction!$F$9)-1.302))</f>
        <v>21.515292455304493</v>
      </c>
      <c r="C130" s="51">
        <f>I130*Calibration!$B$50*Prediction!$O$9*Prediction!$B$18/12500*'Degradation Model'!$B$26/Prediction!$B$8</f>
        <v>15.434289470590796</v>
      </c>
      <c r="D130" s="51">
        <f t="shared" si="10"/>
        <v>22.074755629551465</v>
      </c>
      <c r="E130" s="51">
        <f>((Prediction!$O$10-1)*F130*Prediction!$B$10/7)</f>
        <v>4.618928244606777</v>
      </c>
      <c r="F130" s="51">
        <f t="shared" si="11"/>
        <v>43.590048084855958</v>
      </c>
      <c r="G130" s="51">
        <f t="shared" si="12"/>
        <v>48.208976329462736</v>
      </c>
      <c r="H130" s="51">
        <f t="shared" si="13"/>
        <v>51.791023670537264</v>
      </c>
      <c r="I130" s="25">
        <f t="shared" si="17"/>
        <v>12.799999999999956</v>
      </c>
    </row>
    <row r="131" spans="1:9">
      <c r="A131" s="25">
        <f t="shared" si="16"/>
        <v>12.699999999999957</v>
      </c>
      <c r="B131" s="51">
        <f>(Prediction!$O$9*Calibration!$B$49*SQRT(I131+Prediction!$F$7-Prediction!$F$9))-((0.32989795*(I131+Prediction!$F$7-Prediction!$F$9)-1.302))</f>
        <v>21.453614392025568</v>
      </c>
      <c r="C131" s="51">
        <f>I131*Calibration!$B$50*Prediction!$O$9*Prediction!$B$18/12500*'Degradation Model'!$B$26/Prediction!$B$8</f>
        <v>15.313709084101804</v>
      </c>
      <c r="D131" s="51">
        <f t="shared" si="10"/>
        <v>21.843382528244906</v>
      </c>
      <c r="E131" s="51">
        <f>((Prediction!$O$10-1)*F131*Prediction!$B$10/7)</f>
        <v>4.587875691083922</v>
      </c>
      <c r="F131" s="51">
        <f t="shared" si="11"/>
        <v>43.296996920270473</v>
      </c>
      <c r="G131" s="51">
        <f t="shared" si="12"/>
        <v>47.884872611354396</v>
      </c>
      <c r="H131" s="51">
        <f t="shared" si="13"/>
        <v>52.115127388645604</v>
      </c>
      <c r="I131" s="25">
        <f t="shared" si="17"/>
        <v>12.699999999999957</v>
      </c>
    </row>
    <row r="132" spans="1:9">
      <c r="A132" s="25">
        <f t="shared" si="16"/>
        <v>12.599999999999957</v>
      </c>
      <c r="B132" s="51">
        <f>(Prediction!$O$9*Calibration!$B$49*SQRT(I132+Prediction!$F$7-Prediction!$F$9))-((0.32989795*(I132+Prediction!$F$7-Prediction!$F$9)-1.302))</f>
        <v>21.391567505148323</v>
      </c>
      <c r="C132" s="51">
        <f>I132*Calibration!$B$50*Prediction!$O$9*Prediction!$B$18/12500*'Degradation Model'!$B$26/Prediction!$B$8</f>
        <v>15.193128697612813</v>
      </c>
      <c r="D132" s="51">
        <f t="shared" si="10"/>
        <v>21.613434320235179</v>
      </c>
      <c r="E132" s="51">
        <f>((Prediction!$O$10-1)*F132*Prediction!$B$10/7)</f>
        <v>4.5569350417771224</v>
      </c>
      <c r="F132" s="51">
        <f t="shared" si="11"/>
        <v>43.005001825383502</v>
      </c>
      <c r="G132" s="51">
        <f t="shared" si="12"/>
        <v>47.561936867160625</v>
      </c>
      <c r="H132" s="51">
        <f t="shared" si="13"/>
        <v>52.438063132839375</v>
      </c>
      <c r="I132" s="25">
        <f t="shared" si="17"/>
        <v>12.599999999999957</v>
      </c>
    </row>
    <row r="133" spans="1:9">
      <c r="A133" s="25">
        <f t="shared" si="16"/>
        <v>12.499999999999957</v>
      </c>
      <c r="B133" s="51">
        <f>(Prediction!$O$9*Calibration!$B$49*SQRT(I133+Prediction!$F$7-Prediction!$F$9))-((0.32989795*(I133+Prediction!$F$7-Prediction!$F$9)-1.302))</f>
        <v>21.329147450003649</v>
      </c>
      <c r="C133" s="51">
        <f>I133*Calibration!$B$50*Prediction!$O$9*Prediction!$B$18/12500*'Degradation Model'!$B$26/Prediction!$B$8</f>
        <v>15.072548311123825</v>
      </c>
      <c r="D133" s="51">
        <f t="shared" si="10"/>
        <v>21.384888631422765</v>
      </c>
      <c r="E133" s="51">
        <f>((Prediction!$O$10-1)*F133*Prediction!$B$10/7)</f>
        <v>4.5261034654879611</v>
      </c>
      <c r="F133" s="51">
        <f t="shared" si="11"/>
        <v>42.714036081426414</v>
      </c>
      <c r="G133" s="51">
        <f t="shared" si="12"/>
        <v>47.240139546914378</v>
      </c>
      <c r="H133" s="51">
        <f t="shared" si="13"/>
        <v>52.759860453085622</v>
      </c>
      <c r="I133" s="25">
        <f t="shared" si="17"/>
        <v>12.499999999999957</v>
      </c>
    </row>
    <row r="134" spans="1:9">
      <c r="A134" s="25">
        <f t="shared" si="16"/>
        <v>12.399999999999958</v>
      </c>
      <c r="B134" s="51">
        <f>(Prediction!$O$9*Calibration!$B$49*SQRT(I134+Prediction!$F$7-Prediction!$F$9))-((0.32989795*(I134+Prediction!$F$7-Prediction!$F$9)-1.302))</f>
        <v>21.26634979594769</v>
      </c>
      <c r="C134" s="51">
        <f>I134*Calibration!$B$50*Prediction!$O$9*Prediction!$B$18/12500*'Degradation Model'!$B$26/Prediction!$B$8</f>
        <v>14.951967924634834</v>
      </c>
      <c r="D134" s="51">
        <f t="shared" si="10"/>
        <v>21.157723708802948</v>
      </c>
      <c r="E134" s="51">
        <f>((Prediction!$O$10-1)*F134*Prediction!$B$10/7)</f>
        <v>4.4953781877209016</v>
      </c>
      <c r="F134" s="51">
        <f t="shared" si="11"/>
        <v>42.424073504750638</v>
      </c>
      <c r="G134" s="51">
        <f t="shared" si="12"/>
        <v>46.91945169247154</v>
      </c>
      <c r="H134" s="51">
        <f t="shared" si="13"/>
        <v>53.08054830752846</v>
      </c>
      <c r="I134" s="25">
        <f t="shared" si="17"/>
        <v>12.399999999999958</v>
      </c>
    </row>
    <row r="135" spans="1:9">
      <c r="A135" s="25">
        <f t="shared" si="16"/>
        <v>12.299999999999958</v>
      </c>
      <c r="B135" s="51">
        <f>(Prediction!$O$9*Calibration!$B$49*SQRT(I135+Prediction!$F$7-Prediction!$F$9))-((0.32989795*(I135+Prediction!$F$7-Prediction!$F$9)-1.302))</f>
        <v>21.203170023960975</v>
      </c>
      <c r="C135" s="51">
        <f>I135*Calibration!$B$50*Prediction!$O$9*Prediction!$B$18/12500*'Degradation Model'!$B$26/Prediction!$B$8</f>
        <v>14.831387538145842</v>
      </c>
      <c r="D135" s="51">
        <f t="shared" si="10"/>
        <v>20.931918397405845</v>
      </c>
      <c r="E135" s="51">
        <f>((Prediction!$O$10-1)*F135*Prediction!$B$10/7)</f>
        <v>4.4647564879853761</v>
      </c>
      <c r="F135" s="51">
        <f t="shared" si="11"/>
        <v>42.135088421366817</v>
      </c>
      <c r="G135" s="51">
        <f t="shared" si="12"/>
        <v>46.599844909352193</v>
      </c>
      <c r="H135" s="51">
        <f t="shared" si="13"/>
        <v>53.400155090647807</v>
      </c>
      <c r="I135" s="25">
        <f t="shared" si="17"/>
        <v>12.299999999999958</v>
      </c>
    </row>
    <row r="136" spans="1:9">
      <c r="A136" s="25">
        <f t="shared" si="16"/>
        <v>12.199999999999958</v>
      </c>
      <c r="B136" s="51">
        <f>(Prediction!$O$9*Calibration!$B$49*SQRT(I136+Prediction!$F$7-Prediction!$F$9))-((0.32989795*(I136+Prediction!$F$7-Prediction!$F$9)-1.302))</f>
        <v>21.139603524160663</v>
      </c>
      <c r="C136" s="51">
        <f>I136*Calibration!$B$50*Prediction!$O$9*Prediction!$B$18/12500*'Degradation Model'!$B$26/Prediction!$B$8</f>
        <v>14.710807151656851</v>
      </c>
      <c r="D136" s="51">
        <f t="shared" ref="D136:D199" si="18">D137+($C$257*100/H137)</f>
        <v>20.707452118345579</v>
      </c>
      <c r="E136" s="51">
        <f>((Prediction!$O$10-1)*F136*Prediction!$B$10/7)</f>
        <v>4.4342356972062094</v>
      </c>
      <c r="F136" s="51">
        <f t="shared" ref="F136:F199" si="19">B136+D136</f>
        <v>41.847055642506241</v>
      </c>
      <c r="G136" s="51">
        <f t="shared" ref="G136:G199" si="20">F136+E136</f>
        <v>46.281291339712453</v>
      </c>
      <c r="H136" s="51">
        <f t="shared" ref="H136:H199" si="21">IF(100-G136&lt;10,10,100-G136)</f>
        <v>53.718708660287547</v>
      </c>
      <c r="I136" s="25">
        <f t="shared" si="17"/>
        <v>12.199999999999958</v>
      </c>
    </row>
    <row r="137" spans="1:9">
      <c r="A137" s="25">
        <f t="shared" si="16"/>
        <v>12.099999999999959</v>
      </c>
      <c r="B137" s="51">
        <f>(Prediction!$O$9*Calibration!$B$49*SQRT(I137+Prediction!$F$7-Prediction!$F$9))-((0.32989795*(I137+Prediction!$F$7-Prediction!$F$9)-1.302))</f>
        <v>21.075645593221985</v>
      </c>
      <c r="C137" s="51">
        <f>I137*Calibration!$B$50*Prediction!$O$9*Prediction!$B$18/12500*'Degradation Model'!$B$26/Prediction!$B$8</f>
        <v>14.590226765167863</v>
      </c>
      <c r="D137" s="51">
        <f t="shared" si="18"/>
        <v>20.484304847914778</v>
      </c>
      <c r="E137" s="51">
        <f>((Prediction!$O$10-1)*F137*Prediction!$B$10/7)</f>
        <v>4.4038131952351751</v>
      </c>
      <c r="F137" s="51">
        <f t="shared" si="19"/>
        <v>41.559950441136763</v>
      </c>
      <c r="G137" s="51">
        <f t="shared" si="20"/>
        <v>45.963763636371937</v>
      </c>
      <c r="H137" s="51">
        <f t="shared" si="21"/>
        <v>54.036236363628063</v>
      </c>
      <c r="I137" s="25">
        <f t="shared" si="17"/>
        <v>12.099999999999959</v>
      </c>
    </row>
    <row r="138" spans="1:9">
      <c r="A138" s="25">
        <f t="shared" si="16"/>
        <v>11.999999999999959</v>
      </c>
      <c r="B138" s="51">
        <f>(Prediction!$O$9*Calibration!$B$49*SQRT(I138+Prediction!$F$7-Prediction!$F$9))-((0.32989795*(I138+Prediction!$F$7-Prediction!$F$9)-1.302))</f>
        <v>21.011291431704901</v>
      </c>
      <c r="C138" s="51">
        <f>I138*Calibration!$B$50*Prediction!$O$9*Prediction!$B$18/12500*'Degradation Model'!$B$26/Prediction!$B$8</f>
        <v>14.46964637867887</v>
      </c>
      <c r="D138" s="51">
        <f t="shared" si="18"/>
        <v>20.26245709766501</v>
      </c>
      <c r="E138" s="51">
        <f>((Prediction!$O$10-1)*F138*Prediction!$B$10/7)</f>
        <v>4.373486408456988</v>
      </c>
      <c r="F138" s="51">
        <f t="shared" si="19"/>
        <v>41.273748529369911</v>
      </c>
      <c r="G138" s="51">
        <f t="shared" si="20"/>
        <v>45.647234937826902</v>
      </c>
      <c r="H138" s="51">
        <f t="shared" si="21"/>
        <v>54.352765062173098</v>
      </c>
      <c r="I138" s="25">
        <f t="shared" si="17"/>
        <v>11.999999999999959</v>
      </c>
    </row>
    <row r="139" spans="1:9">
      <c r="A139" s="25">
        <f t="shared" si="16"/>
        <v>11.899999999999959</v>
      </c>
      <c r="B139" s="51">
        <f>(Prediction!$O$9*Calibration!$B$49*SQRT(I139+Prediction!$F$7-Prediction!$F$9))-((0.32989795*(I139+Prediction!$F$7-Prediction!$F$9)-1.302))</f>
        <v>20.946536141281548</v>
      </c>
      <c r="C139" s="51">
        <f>I139*Calibration!$B$50*Prediction!$O$9*Prediction!$B$18/12500*'Degradation Model'!$B$26/Prediction!$B$8</f>
        <v>14.34906599218988</v>
      </c>
      <c r="D139" s="51">
        <f t="shared" si="18"/>
        <v>20.041889895417679</v>
      </c>
      <c r="E139" s="51">
        <f>((Prediction!$O$10-1)*F139*Prediction!$B$10/7)</f>
        <v>4.3432528074833723</v>
      </c>
      <c r="F139" s="51">
        <f t="shared" si="19"/>
        <v>40.988426036699224</v>
      </c>
      <c r="G139" s="51">
        <f t="shared" si="20"/>
        <v>45.331678844182598</v>
      </c>
      <c r="H139" s="51">
        <f t="shared" si="21"/>
        <v>54.668321155817402</v>
      </c>
      <c r="I139" s="25">
        <f t="shared" si="17"/>
        <v>11.899999999999959</v>
      </c>
    </row>
    <row r="140" spans="1:9">
      <c r="A140" s="25">
        <f t="shared" si="16"/>
        <v>11.79999999999996</v>
      </c>
      <c r="B140" s="51">
        <f>(Prediction!$O$9*Calibration!$B$49*SQRT(I140+Prediction!$F$7-Prediction!$F$9))-((0.32989795*(I140+Prediction!$F$7-Prediction!$F$9)-1.302))</f>
        <v>20.881374721860027</v>
      </c>
      <c r="C140" s="51">
        <f>I140*Calibration!$B$50*Prediction!$O$9*Prediction!$B$18/12500*'Degradation Model'!$B$26/Prediction!$B$8</f>
        <v>14.228485605700888</v>
      </c>
      <c r="D140" s="51">
        <f t="shared" si="18"/>
        <v>19.822584767153582</v>
      </c>
      <c r="E140" s="51">
        <f>((Prediction!$O$10-1)*F140*Prediction!$B$10/7)</f>
        <v>4.3131099049292612</v>
      </c>
      <c r="F140" s="51">
        <f t="shared" si="19"/>
        <v>40.703959489013613</v>
      </c>
      <c r="G140" s="51">
        <f t="shared" si="20"/>
        <v>45.017069393942876</v>
      </c>
      <c r="H140" s="51">
        <f t="shared" si="21"/>
        <v>54.982930606057124</v>
      </c>
      <c r="I140" s="25">
        <f t="shared" si="17"/>
        <v>11.79999999999996</v>
      </c>
    </row>
    <row r="141" spans="1:9">
      <c r="A141" s="25">
        <f t="shared" si="16"/>
        <v>11.69999999999996</v>
      </c>
      <c r="B141" s="51">
        <f>(Prediction!$O$9*Calibration!$B$49*SQRT(I141+Prediction!$F$7-Prediction!$F$9))-((0.32989795*(I141+Prediction!$F$7-Prediction!$F$9)-1.302))</f>
        <v>20.815802068599748</v>
      </c>
      <c r="C141" s="51">
        <f>I141*Calibration!$B$50*Prediction!$O$9*Prediction!$B$18/12500*'Degradation Model'!$B$26/Prediction!$B$8</f>
        <v>14.107905219211899</v>
      </c>
      <c r="D141" s="51">
        <f t="shared" si="18"/>
        <v>19.604523719732796</v>
      </c>
      <c r="E141" s="51">
        <f>((Prediction!$O$10-1)*F141*Prediction!$B$10/7)</f>
        <v>4.2830552532654727</v>
      </c>
      <c r="F141" s="51">
        <f t="shared" si="19"/>
        <v>40.420325788332548</v>
      </c>
      <c r="G141" s="51">
        <f t="shared" si="20"/>
        <v>44.703381041598021</v>
      </c>
      <c r="H141" s="51">
        <f t="shared" si="21"/>
        <v>55.296618958401979</v>
      </c>
      <c r="I141" s="25">
        <f t="shared" si="17"/>
        <v>11.69999999999996</v>
      </c>
    </row>
    <row r="142" spans="1:9">
      <c r="A142" s="25">
        <f t="shared" si="16"/>
        <v>11.599999999999961</v>
      </c>
      <c r="B142" s="51">
        <f>(Prediction!$O$9*Calibration!$B$49*SQRT(I142+Prediction!$F$7-Prediction!$F$9))-((0.32989795*(I142+Prediction!$F$7-Prediction!$F$9)-1.302))</f>
        <v>20.749812968813231</v>
      </c>
      <c r="C142" s="51">
        <f>I142*Calibration!$B$50*Prediction!$O$9*Prediction!$B$18/12500*'Degradation Model'!$B$26/Prediction!$B$8</f>
        <v>13.987324832722908</v>
      </c>
      <c r="D142" s="51">
        <f t="shared" si="18"/>
        <v>19.387689224399626</v>
      </c>
      <c r="E142" s="51">
        <f>((Prediction!$O$10-1)*F142*Prediction!$B$10/7)</f>
        <v>4.2530864427425632</v>
      </c>
      <c r="F142" s="51">
        <f t="shared" si="19"/>
        <v>40.137502193212853</v>
      </c>
      <c r="G142" s="51">
        <f t="shared" si="20"/>
        <v>44.390588635955417</v>
      </c>
      <c r="H142" s="51">
        <f t="shared" si="21"/>
        <v>55.609411364044583</v>
      </c>
      <c r="I142" s="25">
        <f t="shared" si="17"/>
        <v>11.599999999999961</v>
      </c>
    </row>
    <row r="143" spans="1:9">
      <c r="A143" s="25">
        <f t="shared" si="16"/>
        <v>11.499999999999961</v>
      </c>
      <c r="B143" s="51">
        <f>(Prediction!$O$9*Calibration!$B$49*SQRT(I143+Prediction!$F$7-Prediction!$F$9))-((0.32989795*(I143+Prediction!$F$7-Prediction!$F$9)-1.302))</f>
        <v>20.683402098749134</v>
      </c>
      <c r="C143" s="51">
        <f>I143*Calibration!$B$50*Prediction!$O$9*Prediction!$B$18/12500*'Degradation Model'!$B$26/Prediction!$B$8</f>
        <v>13.866744446233916</v>
      </c>
      <c r="D143" s="51">
        <f t="shared" si="18"/>
        <v>19.172064201030349</v>
      </c>
      <c r="E143" s="51">
        <f>((Prediction!$O$10-1)*F143*Prediction!$B$10/7)</f>
        <v>4.2232010993807849</v>
      </c>
      <c r="F143" s="51">
        <f t="shared" si="19"/>
        <v>39.855466299779479</v>
      </c>
      <c r="G143" s="51">
        <f t="shared" si="20"/>
        <v>44.078667399160267</v>
      </c>
      <c r="H143" s="51">
        <f t="shared" si="21"/>
        <v>55.921332600839733</v>
      </c>
      <c r="I143" s="25">
        <f t="shared" si="17"/>
        <v>11.499999999999961</v>
      </c>
    </row>
    <row r="144" spans="1:9">
      <c r="A144" s="25">
        <f t="shared" si="16"/>
        <v>11.399999999999961</v>
      </c>
      <c r="B144" s="51">
        <f>(Prediction!$O$9*Calibration!$B$49*SQRT(I144+Prediction!$F$7-Prediction!$F$9))-((0.32989795*(I144+Prediction!$F$7-Prediction!$F$9)-1.302))</f>
        <v>20.616564020250792</v>
      </c>
      <c r="C144" s="51">
        <f>I144*Calibration!$B$50*Prediction!$O$9*Prediction!$B$18/12500*'Degradation Model'!$B$26/Prediction!$B$8</f>
        <v>13.746164059744926</v>
      </c>
      <c r="D144" s="51">
        <f t="shared" si="18"/>
        <v>18.957632003084118</v>
      </c>
      <c r="E144" s="51">
        <f>((Prediction!$O$10-1)*F144*Prediction!$B$10/7)</f>
        <v>4.1933968830213741</v>
      </c>
      <c r="F144" s="51">
        <f t="shared" si="19"/>
        <v>39.574196023334906</v>
      </c>
      <c r="G144" s="51">
        <f t="shared" si="20"/>
        <v>43.767592906356278</v>
      </c>
      <c r="H144" s="51">
        <f t="shared" si="21"/>
        <v>56.232407093643722</v>
      </c>
      <c r="I144" s="25">
        <f t="shared" si="17"/>
        <v>11.399999999999961</v>
      </c>
    </row>
    <row r="145" spans="1:9">
      <c r="A145" s="25">
        <f t="shared" si="16"/>
        <v>11.299999999999962</v>
      </c>
      <c r="B145" s="51">
        <f>(Prediction!$O$9*Calibration!$B$49*SQRT(I145+Prediction!$F$7-Prediction!$F$9))-((0.32989795*(I145+Prediction!$F$7-Prediction!$F$9)-1.302))</f>
        <v>20.549293177284429</v>
      </c>
      <c r="C145" s="51">
        <f>I145*Calibration!$B$50*Prediction!$O$9*Prediction!$B$18/12500*'Degradation Model'!$B$26/Prediction!$B$8</f>
        <v>13.625583673255937</v>
      </c>
      <c r="D145" s="51">
        <f t="shared" si="18"/>
        <v>18.744376403219967</v>
      </c>
      <c r="E145" s="51">
        <f>((Prediction!$O$10-1)*F145*Prediction!$B$10/7)</f>
        <v>4.1636714854346009</v>
      </c>
      <c r="F145" s="51">
        <f t="shared" si="19"/>
        <v>39.2936695805044</v>
      </c>
      <c r="G145" s="51">
        <f t="shared" si="20"/>
        <v>43.457341065938998</v>
      </c>
      <c r="H145" s="51">
        <f t="shared" si="21"/>
        <v>56.542658934061002</v>
      </c>
      <c r="I145" s="25">
        <f t="shared" si="17"/>
        <v>11.299999999999962</v>
      </c>
    </row>
    <row r="146" spans="1:9">
      <c r="A146" s="25">
        <f t="shared" si="16"/>
        <v>11.199999999999962</v>
      </c>
      <c r="B146" s="51">
        <f>(Prediction!$O$9*Calibration!$B$49*SQRT(I146+Prediction!$F$7-Prediction!$F$9))-((0.32989795*(I146+Prediction!$F$7-Prediction!$F$9)-1.302))</f>
        <v>20.48158389233069</v>
      </c>
      <c r="C146" s="51">
        <f>I146*Calibration!$B$50*Prediction!$O$9*Prediction!$B$18/12500*'Degradation Model'!$B$26/Prediction!$B$8</f>
        <v>13.505003286766943</v>
      </c>
      <c r="D146" s="51">
        <f t="shared" si="18"/>
        <v>18.532281579545128</v>
      </c>
      <c r="E146" s="51">
        <f>((Prediction!$O$10-1)*F146*Prediction!$B$10/7)</f>
        <v>4.1340226284802402</v>
      </c>
      <c r="F146" s="51">
        <f t="shared" si="19"/>
        <v>39.013865471875818</v>
      </c>
      <c r="G146" s="51">
        <f t="shared" si="20"/>
        <v>43.147888100356056</v>
      </c>
      <c r="H146" s="51">
        <f t="shared" si="21"/>
        <v>56.852111899643944</v>
      </c>
      <c r="I146" s="25">
        <f t="shared" si="17"/>
        <v>11.199999999999962</v>
      </c>
    </row>
    <row r="147" spans="1:9">
      <c r="A147" s="25">
        <f t="shared" si="16"/>
        <v>11.099999999999962</v>
      </c>
      <c r="B147" s="51">
        <f>(Prediction!$O$9*Calibration!$B$49*SQRT(I147+Prediction!$F$7-Prediction!$F$9))-((0.32989795*(I147+Prediction!$F$7-Prediction!$F$9)-1.302))</f>
        <v>20.413430362632909</v>
      </c>
      <c r="C147" s="51">
        <f>I147*Calibration!$B$50*Prediction!$O$9*Prediction!$B$18/12500*'Degradation Model'!$B$26/Prediction!$B$8</f>
        <v>13.384422900277954</v>
      </c>
      <c r="D147" s="51">
        <f t="shared" si="18"/>
        <v>18.321332102462073</v>
      </c>
      <c r="E147" s="51">
        <f>((Prediction!$O$10-1)*F147*Prediction!$B$10/7)</f>
        <v>4.1044480623163055</v>
      </c>
      <c r="F147" s="51">
        <f t="shared" si="19"/>
        <v>38.734762465094981</v>
      </c>
      <c r="G147" s="51">
        <f t="shared" si="20"/>
        <v>42.839210527411289</v>
      </c>
      <c r="H147" s="51">
        <f t="shared" si="21"/>
        <v>57.160789472588711</v>
      </c>
      <c r="I147" s="25">
        <f t="shared" si="17"/>
        <v>11.099999999999962</v>
      </c>
    </row>
    <row r="148" spans="1:9">
      <c r="A148" s="25">
        <f t="shared" si="16"/>
        <v>10.999999999999963</v>
      </c>
      <c r="B148" s="51">
        <f>(Prediction!$O$9*Calibration!$B$49*SQRT(I148+Prediction!$F$7-Prediction!$F$9))-((0.32989795*(I148+Prediction!$F$7-Prediction!$F$9)-1.302))</f>
        <v>20.344826656295091</v>
      </c>
      <c r="C148" s="51">
        <f>I148*Calibration!$B$50*Prediction!$O$9*Prediction!$B$18/12500*'Degradation Model'!$B$26/Prediction!$B$8</f>
        <v>13.263842513788966</v>
      </c>
      <c r="D148" s="51">
        <f t="shared" si="18"/>
        <v>18.111512922083705</v>
      </c>
      <c r="E148" s="51">
        <f>((Prediction!$O$10-1)*F148*Prediction!$B$10/7)</f>
        <v>4.0749455636520491</v>
      </c>
      <c r="F148" s="51">
        <f t="shared" si="19"/>
        <v>38.456339578378795</v>
      </c>
      <c r="G148" s="51">
        <f t="shared" si="20"/>
        <v>42.531285142030846</v>
      </c>
      <c r="H148" s="51">
        <f t="shared" si="21"/>
        <v>57.468714857969154</v>
      </c>
      <c r="I148" s="25">
        <f t="shared" si="17"/>
        <v>10.999999999999963</v>
      </c>
    </row>
    <row r="149" spans="1:9">
      <c r="A149" s="25">
        <f t="shared" si="16"/>
        <v>10.899999999999963</v>
      </c>
      <c r="B149" s="51">
        <f>(Prediction!$O$9*Calibration!$B$49*SQRT(I149+Prediction!$F$7-Prediction!$F$9))-((0.32989795*(I149+Prediction!$F$7-Prediction!$F$9)-1.302))</f>
        <v>20.27576670822215</v>
      </c>
      <c r="C149" s="51">
        <f>I149*Calibration!$B$50*Prediction!$O$9*Prediction!$B$18/12500*'Degradation Model'!$B$26/Prediction!$B$8</f>
        <v>13.143262127299975</v>
      </c>
      <c r="D149" s="51">
        <f t="shared" si="18"/>
        <v>17.90280935618798</v>
      </c>
      <c r="E149" s="51">
        <f>((Prediction!$O$10-1)*F149*Prediction!$B$10/7)</f>
        <v>4.0455129340414198</v>
      </c>
      <c r="F149" s="51">
        <f t="shared" si="19"/>
        <v>38.17857606441013</v>
      </c>
      <c r="G149" s="51">
        <f t="shared" si="20"/>
        <v>42.224088998451549</v>
      </c>
      <c r="H149" s="51">
        <f t="shared" si="21"/>
        <v>57.775911001548451</v>
      </c>
      <c r="I149" s="25">
        <f t="shared" si="17"/>
        <v>10.899999999999963</v>
      </c>
    </row>
    <row r="150" spans="1:9">
      <c r="A150" s="25">
        <f t="shared" si="16"/>
        <v>10.799999999999963</v>
      </c>
      <c r="B150" s="51">
        <f>(Prediction!$O$9*Calibration!$B$49*SQRT(I150+Prediction!$F$7-Prediction!$F$9))-((0.32989795*(I150+Prediction!$F$7-Prediction!$F$9)-1.302))</f>
        <v>20.206244315894615</v>
      </c>
      <c r="C150" s="51">
        <f>I150*Calibration!$B$50*Prediction!$O$9*Prediction!$B$18/12500*'Degradation Model'!$B$26/Prediction!$B$8</f>
        <v>13.022681740810983</v>
      </c>
      <c r="D150" s="51">
        <f t="shared" si="18"/>
        <v>17.695207078684991</v>
      </c>
      <c r="E150" s="51">
        <f>((Prediction!$O$10-1)*F150*Prediction!$B$10/7)</f>
        <v>4.0161479982132748</v>
      </c>
      <c r="F150" s="51">
        <f t="shared" si="19"/>
        <v>37.90145139457961</v>
      </c>
      <c r="G150" s="51">
        <f t="shared" si="20"/>
        <v>41.917599392792887</v>
      </c>
      <c r="H150" s="51">
        <f t="shared" si="21"/>
        <v>58.082400607207113</v>
      </c>
      <c r="I150" s="25">
        <f t="shared" si="17"/>
        <v>10.799999999999963</v>
      </c>
    </row>
    <row r="151" spans="1:9">
      <c r="A151" s="25">
        <f t="shared" si="16"/>
        <v>10.699999999999964</v>
      </c>
      <c r="B151" s="51">
        <f>(Prediction!$O$9*Calibration!$B$49*SQRT(I151+Prediction!$F$7-Prediction!$F$9))-((0.32989795*(I151+Prediction!$F$7-Prediction!$F$9)-1.302))</f>
        <v>20.136253134969373</v>
      </c>
      <c r="C151" s="51">
        <f>I151*Calibration!$B$50*Prediction!$O$9*Prediction!$B$18/12500*'Degradation Model'!$B$26/Prediction!$B$8</f>
        <v>12.902101354321992</v>
      </c>
      <c r="D151" s="51">
        <f t="shared" si="18"/>
        <v>17.488692108571183</v>
      </c>
      <c r="E151" s="51">
        <f>((Prediction!$O$10-1)*F151*Prediction!$B$10/7)</f>
        <v>3.9868486024347805</v>
      </c>
      <c r="F151" s="51">
        <f t="shared" si="19"/>
        <v>37.624945243540552</v>
      </c>
      <c r="G151" s="51">
        <f t="shared" si="20"/>
        <v>41.611793845975335</v>
      </c>
      <c r="H151" s="51">
        <f t="shared" si="21"/>
        <v>58.388206154024665</v>
      </c>
      <c r="I151" s="25">
        <f t="shared" si="17"/>
        <v>10.699999999999964</v>
      </c>
    </row>
    <row r="152" spans="1:9">
      <c r="A152" s="25">
        <f t="shared" si="16"/>
        <v>10.599999999999964</v>
      </c>
      <c r="B152" s="51">
        <f>(Prediction!$O$9*Calibration!$B$49*SQRT(I152+Prediction!$F$7-Prediction!$F$9))-((0.32989795*(I152+Prediction!$F$7-Prediction!$F$9)-1.302))</f>
        <v>20.065786674697716</v>
      </c>
      <c r="C152" s="51">
        <f>I152*Calibration!$B$50*Prediction!$O$9*Prediction!$B$18/12500*'Degradation Model'!$B$26/Prediction!$B$8</f>
        <v>12.781520967833004</v>
      </c>
      <c r="D152" s="51">
        <f t="shared" si="18"/>
        <v>17.283250799346881</v>
      </c>
      <c r="E152" s="51">
        <f>((Prediction!$O$10-1)*F152*Prediction!$B$10/7)</f>
        <v>3.9576126129045441</v>
      </c>
      <c r="F152" s="51">
        <f t="shared" si="19"/>
        <v>37.349037474044593</v>
      </c>
      <c r="G152" s="51">
        <f t="shared" si="20"/>
        <v>41.306650086949134</v>
      </c>
      <c r="H152" s="51">
        <f t="shared" si="21"/>
        <v>58.693349913050866</v>
      </c>
      <c r="I152" s="25">
        <f t="shared" si="17"/>
        <v>10.599999999999964</v>
      </c>
    </row>
    <row r="153" spans="1:9">
      <c r="A153" s="25">
        <f t="shared" si="16"/>
        <v>10.499999999999964</v>
      </c>
      <c r="B153" s="51">
        <f>(Prediction!$O$9*Calibration!$B$49*SQRT(I153+Prediction!$F$7-Prediction!$F$9))-((0.32989795*(I153+Prediction!$F$7-Prediction!$F$9)-1.302))</f>
        <v>19.994838293151268</v>
      </c>
      <c r="C153" s="51">
        <f>I153*Calibration!$B$50*Prediction!$O$9*Prediction!$B$18/12500*'Degradation Model'!$B$26/Prediction!$B$8</f>
        <v>12.660940581344011</v>
      </c>
      <c r="D153" s="51">
        <f t="shared" si="18"/>
        <v>17.078869828874709</v>
      </c>
      <c r="E153" s="51">
        <f>((Prediction!$O$10-1)*F153*Prediction!$B$10/7)</f>
        <v>3.928437914172108</v>
      </c>
      <c r="F153" s="51">
        <f t="shared" si="19"/>
        <v>37.073708122025977</v>
      </c>
      <c r="G153" s="51">
        <f t="shared" si="20"/>
        <v>41.002146036198084</v>
      </c>
      <c r="H153" s="51">
        <f t="shared" si="21"/>
        <v>58.997853963801916</v>
      </c>
      <c r="I153" s="25">
        <f t="shared" si="17"/>
        <v>10.499999999999964</v>
      </c>
    </row>
    <row r="154" spans="1:9">
      <c r="A154" s="25">
        <f t="shared" si="16"/>
        <v>10.399999999999965</v>
      </c>
      <c r="B154" s="51">
        <f>(Prediction!$O$9*Calibration!$B$49*SQRT(I154+Prediction!$F$7-Prediction!$F$9))-((0.32989795*(I154+Prediction!$F$7-Prediction!$F$9)-1.302))</f>
        <v>19.923401192245858</v>
      </c>
      <c r="C154" s="51">
        <f>I154*Calibration!$B$50*Prediction!$O$9*Prediction!$B$18/12500*'Degradation Model'!$B$26/Prediction!$B$8</f>
        <v>12.540360194855021</v>
      </c>
      <c r="D154" s="51">
        <f t="shared" si="18"/>
        <v>16.875536189657844</v>
      </c>
      <c r="E154" s="51">
        <f>((Prediction!$O$10-1)*F154*Prediction!$B$10/7)</f>
        <v>3.8993224075805193</v>
      </c>
      <c r="F154" s="51">
        <f t="shared" si="19"/>
        <v>36.798937381903698</v>
      </c>
      <c r="G154" s="51">
        <f t="shared" si="20"/>
        <v>40.698259789484219</v>
      </c>
      <c r="H154" s="51">
        <f t="shared" si="21"/>
        <v>59.301740210515781</v>
      </c>
      <c r="I154" s="25">
        <f t="shared" si="17"/>
        <v>10.399999999999965</v>
      </c>
    </row>
    <row r="155" spans="1:9">
      <c r="A155" s="25">
        <f t="shared" ref="A155:A186" si="22">A154-0.1</f>
        <v>10.299999999999965</v>
      </c>
      <c r="B155" s="51">
        <f>(Prediction!$O$9*Calibration!$B$49*SQRT(I155+Prediction!$F$7-Prediction!$F$9))-((0.32989795*(I155+Prediction!$F$7-Prediction!$F$9)-1.302))</f>
        <v>19.851468412552855</v>
      </c>
      <c r="C155" s="51">
        <f>I155*Calibration!$B$50*Prediction!$O$9*Prediction!$B$18/12500*'Degradation Model'!$B$26/Prediction!$B$8</f>
        <v>12.41977980836603</v>
      </c>
      <c r="D155" s="51">
        <f t="shared" si="18"/>
        <v>16.673237179518235</v>
      </c>
      <c r="E155" s="51">
        <f>((Prediction!$O$10-1)*F155*Prediction!$B$10/7)</f>
        <v>3.8702640097287633</v>
      </c>
      <c r="F155" s="51">
        <f t="shared" si="19"/>
        <v>36.524705592071086</v>
      </c>
      <c r="G155" s="51">
        <f t="shared" si="20"/>
        <v>40.394969601799851</v>
      </c>
      <c r="H155" s="51">
        <f t="shared" si="21"/>
        <v>59.605030398200149</v>
      </c>
      <c r="I155" s="25">
        <f t="shared" ref="I155:I186" si="23">I154-0.1</f>
        <v>10.299999999999965</v>
      </c>
    </row>
    <row r="156" spans="1:9">
      <c r="A156" s="25">
        <f t="shared" si="22"/>
        <v>10.199999999999966</v>
      </c>
      <c r="B156" s="51">
        <f>(Prediction!$O$9*Calibration!$B$49*SQRT(I156+Prediction!$F$7-Prediction!$F$9))-((0.32989795*(I156+Prediction!$F$7-Prediction!$F$9)-1.302))</f>
        <v>19.779032827886642</v>
      </c>
      <c r="C156" s="51">
        <f>I156*Calibration!$B$50*Prediction!$O$9*Prediction!$B$18/12500*'Degradation Model'!$B$26/Prediction!$B$8</f>
        <v>12.299199421877042</v>
      </c>
      <c r="D156" s="51">
        <f t="shared" si="18"/>
        <v>16.471960392656118</v>
      </c>
      <c r="E156" s="51">
        <f>((Prediction!$O$10-1)*F156*Prediction!$B$10/7)</f>
        <v>3.8412606509508751</v>
      </c>
      <c r="F156" s="51">
        <f t="shared" si="19"/>
        <v>36.25099322054276</v>
      </c>
      <c r="G156" s="51">
        <f t="shared" si="20"/>
        <v>40.092253871493632</v>
      </c>
      <c r="H156" s="51">
        <f t="shared" si="21"/>
        <v>59.907746128506368</v>
      </c>
      <c r="I156" s="25">
        <f t="shared" si="23"/>
        <v>10.199999999999966</v>
      </c>
    </row>
    <row r="157" spans="1:9">
      <c r="A157" s="25">
        <f t="shared" si="22"/>
        <v>10.099999999999966</v>
      </c>
      <c r="B157" s="51">
        <f>(Prediction!$O$9*Calibration!$B$49*SQRT(I157+Prediction!$F$7-Prediction!$F$9))-((0.32989795*(I157+Prediction!$F$7-Prediction!$F$9)-1.302))</f>
        <v>19.706087139656439</v>
      </c>
      <c r="C157" s="51">
        <f>I157*Calibration!$B$50*Prediction!$O$9*Prediction!$B$18/12500*'Degradation Model'!$B$26/Prediction!$B$8</f>
        <v>12.178619035388053</v>
      </c>
      <c r="D157" s="51">
        <f t="shared" si="18"/>
        <v>16.271693711073222</v>
      </c>
      <c r="E157" s="51">
        <f>((Prediction!$O$10-1)*F157*Prediction!$B$10/7)</f>
        <v>3.8123102738086181</v>
      </c>
      <c r="F157" s="51">
        <f t="shared" si="19"/>
        <v>35.977780850729658</v>
      </c>
      <c r="G157" s="51">
        <f t="shared" si="20"/>
        <v>39.790091124538279</v>
      </c>
      <c r="H157" s="51">
        <f t="shared" si="21"/>
        <v>60.209908875461721</v>
      </c>
      <c r="I157" s="25">
        <f t="shared" si="23"/>
        <v>10.099999999999966</v>
      </c>
    </row>
    <row r="158" spans="1:9">
      <c r="A158" s="25">
        <f t="shared" si="22"/>
        <v>9.9999999999999662</v>
      </c>
      <c r="B158" s="51">
        <f>(Prediction!$O$9*Calibration!$B$49*SQRT(I158+Prediction!$F$7-Prediction!$F$9))-((0.32989795*(I158+Prediction!$F$7-Prediction!$F$9)-1.302))</f>
        <v>19.632623870969702</v>
      </c>
      <c r="C158" s="51">
        <f>I158*Calibration!$B$50*Prediction!$O$9*Prediction!$B$18/12500*'Degradation Model'!$B$26/Prediction!$B$8</f>
        <v>12.058038648899059</v>
      </c>
      <c r="D158" s="51">
        <f t="shared" si="18"/>
        <v>16.072425296343081</v>
      </c>
      <c r="E158" s="51">
        <f>((Prediction!$O$10-1)*F158*Prediction!$B$10/7)</f>
        <v>3.7834108315946269</v>
      </c>
      <c r="F158" s="51">
        <f t="shared" si="19"/>
        <v>35.705049167312779</v>
      </c>
      <c r="G158" s="51">
        <f t="shared" si="20"/>
        <v>39.488459998907409</v>
      </c>
      <c r="H158" s="51">
        <f t="shared" si="21"/>
        <v>60.511540001092591</v>
      </c>
      <c r="I158" s="25">
        <f t="shared" si="23"/>
        <v>9.9999999999999662</v>
      </c>
    </row>
    <row r="159" spans="1:9">
      <c r="A159" s="25">
        <f t="shared" si="22"/>
        <v>9.8999999999999666</v>
      </c>
      <c r="B159" s="51">
        <f>(Prediction!$O$9*Calibration!$B$49*SQRT(I159+Prediction!$F$7-Prediction!$F$9))-((0.32989795*(I159+Prediction!$F$7-Prediction!$F$9)-1.302))</f>
        <v>19.558635360473716</v>
      </c>
      <c r="C159" s="51">
        <f>I159*Calibration!$B$50*Prediction!$O$9*Prediction!$B$18/12500*'Degradation Model'!$B$26/Prediction!$B$8</f>
        <v>11.937458262410066</v>
      </c>
      <c r="D159" s="51">
        <f t="shared" si="18"/>
        <v>15.874143581712806</v>
      </c>
      <c r="E159" s="51">
        <f>((Prediction!$O$10-1)*F159*Prediction!$B$10/7)</f>
        <v>3.754560286842922</v>
      </c>
      <c r="F159" s="51">
        <f t="shared" si="19"/>
        <v>35.432778942186523</v>
      </c>
      <c r="G159" s="51">
        <f t="shared" si="20"/>
        <v>39.187339229029448</v>
      </c>
      <c r="H159" s="51">
        <f t="shared" si="21"/>
        <v>60.812660770970552</v>
      </c>
      <c r="I159" s="25">
        <f t="shared" si="23"/>
        <v>9.8999999999999666</v>
      </c>
    </row>
    <row r="160" spans="1:9">
      <c r="A160" s="25">
        <f t="shared" si="22"/>
        <v>9.799999999999967</v>
      </c>
      <c r="B160" s="51">
        <f>(Prediction!$O$9*Calibration!$B$49*SQRT(I160+Prediction!$F$7-Prediction!$F$9))-((0.32989795*(I160+Prediction!$F$7-Prediction!$F$9)-1.302))</f>
        <v>19.484113755920944</v>
      </c>
      <c r="C160" s="51">
        <f>I160*Calibration!$B$50*Prediction!$O$9*Prediction!$B$18/12500*'Degradation Model'!$B$26/Prediction!$B$8</f>
        <v>11.816877875921078</v>
      </c>
      <c r="D160" s="51">
        <f t="shared" si="18"/>
        <v>15.676837264521607</v>
      </c>
      <c r="E160" s="51">
        <f>((Prediction!$O$10-1)*F160*Prediction!$B$10/7)</f>
        <v>3.7257566098437178</v>
      </c>
      <c r="F160" s="51">
        <f t="shared" si="19"/>
        <v>35.160951020442553</v>
      </c>
      <c r="G160" s="51">
        <f t="shared" si="20"/>
        <v>38.886707630286274</v>
      </c>
      <c r="H160" s="51">
        <f t="shared" si="21"/>
        <v>61.113292369713726</v>
      </c>
      <c r="I160" s="25">
        <f t="shared" si="23"/>
        <v>9.799999999999967</v>
      </c>
    </row>
    <row r="161" spans="1:9">
      <c r="A161" s="25">
        <f t="shared" si="22"/>
        <v>9.6999999999999673</v>
      </c>
      <c r="B161" s="51">
        <f>(Prediction!$O$9*Calibration!$B$49*SQRT(I161+Prediction!$F$7-Prediction!$F$9))-((0.32989795*(I161+Prediction!$F$7-Prediction!$F$9)-1.302))</f>
        <v>19.409051007442848</v>
      </c>
      <c r="C161" s="51">
        <f>I161*Calibration!$B$50*Prediction!$O$9*Prediction!$B$18/12500*'Degradation Model'!$B$26/Prediction!$B$8</f>
        <v>11.696297489432089</v>
      </c>
      <c r="D161" s="51">
        <f t="shared" si="18"/>
        <v>15.480495298922136</v>
      </c>
      <c r="E161" s="51">
        <f>((Prediction!$O$10-1)*F161*Prediction!$B$10/7)</f>
        <v>3.6969977771594325</v>
      </c>
      <c r="F161" s="51">
        <f t="shared" si="19"/>
        <v>34.889546306364984</v>
      </c>
      <c r="G161" s="51">
        <f t="shared" si="20"/>
        <v>38.586544083524416</v>
      </c>
      <c r="H161" s="51">
        <f t="shared" si="21"/>
        <v>61.413455916475584</v>
      </c>
      <c r="I161" s="25">
        <f t="shared" si="23"/>
        <v>9.6999999999999673</v>
      </c>
    </row>
    <row r="162" spans="1:9">
      <c r="A162" s="25">
        <f t="shared" si="22"/>
        <v>9.5999999999999677</v>
      </c>
      <c r="B162" s="51">
        <f>(Prediction!$O$9*Calibration!$B$49*SQRT(I162+Prediction!$F$7-Prediction!$F$9))-((0.32989795*(I162+Prediction!$F$7-Prediction!$F$9)-1.302))</f>
        <v>19.333438860515965</v>
      </c>
      <c r="C162" s="51">
        <f>I162*Calibration!$B$50*Prediction!$O$9*Prediction!$B$18/12500*'Degradation Model'!$B$26/Prediction!$B$8</f>
        <v>11.575717102943095</v>
      </c>
      <c r="D162" s="51">
        <f t="shared" si="18"/>
        <v>15.285106888891582</v>
      </c>
      <c r="E162" s="51">
        <f>((Prediction!$O$10-1)*F162*Prediction!$B$10/7)</f>
        <v>3.66828177013879</v>
      </c>
      <c r="F162" s="51">
        <f t="shared" si="19"/>
        <v>34.618545749407545</v>
      </c>
      <c r="G162" s="51">
        <f t="shared" si="20"/>
        <v>38.286827519546335</v>
      </c>
      <c r="H162" s="51">
        <f t="shared" si="21"/>
        <v>61.713172480453665</v>
      </c>
      <c r="I162" s="25">
        <f t="shared" si="23"/>
        <v>9.5999999999999677</v>
      </c>
    </row>
    <row r="163" spans="1:9">
      <c r="A163" s="25">
        <f t="shared" si="22"/>
        <v>9.499999999999968</v>
      </c>
      <c r="B163" s="51">
        <f>(Prediction!$O$9*Calibration!$B$49*SQRT(I163+Prediction!$F$7-Prediction!$F$9))-((0.32989795*(I163+Prediction!$F$7-Prediction!$F$9)-1.302))</f>
        <v>19.257268848602735</v>
      </c>
      <c r="C163" s="51">
        <f>I163*Calibration!$B$50*Prediction!$O$9*Prediction!$B$18/12500*'Degradation Model'!$B$26/Prediction!$B$8</f>
        <v>11.455136716454104</v>
      </c>
      <c r="D163" s="51">
        <f t="shared" si="18"/>
        <v>15.090661481520119</v>
      </c>
      <c r="E163" s="51">
        <f>((Prediction!$O$10-1)*F163*Prediction!$B$10/7)</f>
        <v>3.6396065734258403</v>
      </c>
      <c r="F163" s="51">
        <f t="shared" si="19"/>
        <v>34.34793033012285</v>
      </c>
      <c r="G163" s="51">
        <f t="shared" si="20"/>
        <v>37.987536903548687</v>
      </c>
      <c r="H163" s="51">
        <f t="shared" si="21"/>
        <v>62.012463096451313</v>
      </c>
      <c r="I163" s="25">
        <f t="shared" si="23"/>
        <v>9.499999999999968</v>
      </c>
    </row>
    <row r="164" spans="1:9">
      <c r="A164" s="25">
        <f t="shared" si="22"/>
        <v>9.3999999999999684</v>
      </c>
      <c r="B164" s="51">
        <f>(Prediction!$O$9*Calibration!$B$49*SQRT(I164+Prediction!$F$7-Prediction!$F$9))-((0.32989795*(I164+Prediction!$F$7-Prediction!$F$9)-1.302))</f>
        <v>19.180532285448546</v>
      </c>
      <c r="C164" s="51">
        <f>I164*Calibration!$B$50*Prediction!$O$9*Prediction!$B$18/12500*'Degradation Model'!$B$26/Prediction!$B$8</f>
        <v>11.334556329965118</v>
      </c>
      <c r="D164" s="51">
        <f t="shared" si="18"/>
        <v>14.897148760565091</v>
      </c>
      <c r="E164" s="51">
        <f>((Prediction!$O$10-1)*F164*Prediction!$B$10/7)</f>
        <v>3.6109701734607187</v>
      </c>
      <c r="F164" s="51">
        <f t="shared" si="19"/>
        <v>34.077681046013637</v>
      </c>
      <c r="G164" s="51">
        <f t="shared" si="20"/>
        <v>37.688651219474359</v>
      </c>
      <c r="H164" s="51">
        <f t="shared" si="21"/>
        <v>62.311348780525641</v>
      </c>
      <c r="I164" s="25">
        <f t="shared" si="23"/>
        <v>9.3999999999999684</v>
      </c>
    </row>
    <row r="165" spans="1:9">
      <c r="A165" s="25">
        <f t="shared" si="22"/>
        <v>9.2999999999999687</v>
      </c>
      <c r="B165" s="51">
        <f>(Prediction!$O$9*Calibration!$B$49*SQRT(I165+Prediction!$F$7-Prediction!$F$9))-((0.32989795*(I165+Prediction!$F$7-Prediction!$F$9)-1.302))</f>
        <v>19.103220257015202</v>
      </c>
      <c r="C165" s="51">
        <f>I165*Calibration!$B$50*Prediction!$O$9*Prediction!$B$18/12500*'Degradation Model'!$B$26/Prediction!$B$8</f>
        <v>11.213975943476125</v>
      </c>
      <c r="D165" s="51">
        <f t="shared" si="18"/>
        <v>14.704558640259899</v>
      </c>
      <c r="E165" s="51">
        <f>((Prediction!$O$10-1)*F165*Prediction!$B$10/7)</f>
        <v>3.5823705569688618</v>
      </c>
      <c r="F165" s="51">
        <f t="shared" si="19"/>
        <v>33.807778897275099</v>
      </c>
      <c r="G165" s="51">
        <f t="shared" si="20"/>
        <v>37.390149454243961</v>
      </c>
      <c r="H165" s="51">
        <f t="shared" si="21"/>
        <v>62.609850545756039</v>
      </c>
      <c r="I165" s="25">
        <f t="shared" si="23"/>
        <v>9.2999999999999687</v>
      </c>
    </row>
    <row r="166" spans="1:9">
      <c r="A166" s="25">
        <f t="shared" si="22"/>
        <v>9.1999999999999691</v>
      </c>
      <c r="B166" s="51">
        <f>(Prediction!$O$9*Calibration!$B$49*SQRT(I166+Prediction!$F$7-Prediction!$F$9))-((0.32989795*(I166+Prediction!$F$7-Prediction!$F$9)-1.302))</f>
        <v>19.025323613029588</v>
      </c>
      <c r="C166" s="51">
        <f>I166*Calibration!$B$50*Prediction!$O$9*Prediction!$B$18/12500*'Degradation Model'!$B$26/Prediction!$B$8</f>
        <v>11.093395556987133</v>
      </c>
      <c r="D166" s="51">
        <f t="shared" si="18"/>
        <v>14.512881259367244</v>
      </c>
      <c r="E166" s="51">
        <f>((Prediction!$O$10-1)*F166*Prediction!$B$10/7)</f>
        <v>3.5538057094353452</v>
      </c>
      <c r="F166" s="51">
        <f t="shared" si="19"/>
        <v>33.538204872396832</v>
      </c>
      <c r="G166" s="51">
        <f t="shared" si="20"/>
        <v>37.092010581832177</v>
      </c>
      <c r="H166" s="51">
        <f t="shared" si="21"/>
        <v>62.907989418167823</v>
      </c>
      <c r="I166" s="25">
        <f t="shared" si="23"/>
        <v>9.1999999999999691</v>
      </c>
    </row>
    <row r="167" spans="1:9">
      <c r="A167" s="25">
        <f t="shared" si="22"/>
        <v>9.0999999999999694</v>
      </c>
      <c r="B167" s="51">
        <f>(Prediction!$O$9*Calibration!$B$49*SQRT(I167+Prediction!$F$7-Prediction!$F$9))-((0.32989795*(I167+Prediction!$F$7-Prediction!$F$9)-1.302))</f>
        <v>18.946832958124816</v>
      </c>
      <c r="C167" s="51">
        <f>I167*Calibration!$B$50*Prediction!$O$9*Prediction!$B$18/12500*'Degradation Model'!$B$26/Prediction!$B$8</f>
        <v>10.972815170498144</v>
      </c>
      <c r="D167" s="51">
        <f t="shared" si="18"/>
        <v>14.322106975466944</v>
      </c>
      <c r="E167" s="51">
        <f>((Prediction!$O$10-1)*F167*Prediction!$B$10/7)</f>
        <v>3.525273613560894</v>
      </c>
      <c r="F167" s="51">
        <f t="shared" si="19"/>
        <v>33.26893993359176</v>
      </c>
      <c r="G167" s="51">
        <f t="shared" si="20"/>
        <v>36.794213547152651</v>
      </c>
      <c r="H167" s="51">
        <f t="shared" si="21"/>
        <v>63.205786452847349</v>
      </c>
      <c r="I167" s="25">
        <f t="shared" si="23"/>
        <v>9.0999999999999694</v>
      </c>
    </row>
    <row r="168" spans="1:9">
      <c r="A168" s="25">
        <f t="shared" si="22"/>
        <v>8.9999999999999698</v>
      </c>
      <c r="B168" s="51">
        <f>(Prediction!$O$9*Calibration!$B$49*SQRT(I168+Prediction!$F$7-Prediction!$F$9))-((0.32989795*(I168+Prediction!$F$7-Prediction!$F$9)-1.302))</f>
        <v>18.867738642549657</v>
      </c>
      <c r="C168" s="51">
        <f>I168*Calibration!$B$50*Prediction!$O$9*Prediction!$B$18/12500*'Degradation Model'!$B$26/Prediction!$B$8</f>
        <v>10.852234784009154</v>
      </c>
      <c r="D168" s="51">
        <f t="shared" si="18"/>
        <v>14.132226359469097</v>
      </c>
      <c r="E168" s="51">
        <f>((Prediction!$O$10-1)*F168*Prediction!$B$10/7)</f>
        <v>3.4967722476960246</v>
      </c>
      <c r="F168" s="51">
        <f t="shared" si="19"/>
        <v>32.999965002018754</v>
      </c>
      <c r="G168" s="51">
        <f t="shared" si="20"/>
        <v>36.496737249714776</v>
      </c>
      <c r="H168" s="51">
        <f t="shared" si="21"/>
        <v>63.503262750285224</v>
      </c>
      <c r="I168" s="25">
        <f t="shared" si="23"/>
        <v>8.9999999999999698</v>
      </c>
    </row>
    <row r="169" spans="1:9">
      <c r="A169" s="25">
        <f t="shared" si="22"/>
        <v>8.8999999999999702</v>
      </c>
      <c r="B169" s="51">
        <f>(Prediction!$O$9*Calibration!$B$49*SQRT(I169+Prediction!$F$7-Prediction!$F$9))-((0.32989795*(I169+Prediction!$F$7-Prediction!$F$9)-1.302))</f>
        <v>18.788030752420191</v>
      </c>
      <c r="C169" s="51">
        <f>I169*Calibration!$B$50*Prediction!$O$9*Prediction!$B$18/12500*'Degradation Model'!$B$26/Prediction!$B$8</f>
        <v>10.731654397520163</v>
      </c>
      <c r="D169" s="51">
        <f t="shared" si="18"/>
        <v>13.943230190343918</v>
      </c>
      <c r="E169" s="51">
        <f>((Prediction!$O$10-1)*F169*Prediction!$B$10/7)</f>
        <v>3.4682995842496411</v>
      </c>
      <c r="F169" s="51">
        <f t="shared" si="19"/>
        <v>32.731260942764109</v>
      </c>
      <c r="G169" s="51">
        <f t="shared" si="20"/>
        <v>36.199560527013752</v>
      </c>
      <c r="H169" s="51">
        <f t="shared" si="21"/>
        <v>63.800439472986248</v>
      </c>
      <c r="I169" s="25">
        <f t="shared" si="23"/>
        <v>8.8999999999999702</v>
      </c>
    </row>
    <row r="170" spans="1:9">
      <c r="A170" s="25">
        <f t="shared" si="22"/>
        <v>8.7999999999999705</v>
      </c>
      <c r="B170" s="51">
        <f>(Prediction!$O$9*Calibration!$B$49*SQRT(I170+Prediction!$F$7-Prediction!$F$9))-((0.32989795*(I170+Prediction!$F$7-Prediction!$F$9)-1.302))</f>
        <v>18.707699099485861</v>
      </c>
      <c r="C170" s="51">
        <f>I170*Calibration!$B$50*Prediction!$O$9*Prediction!$B$18/12500*'Degradation Model'!$B$26/Prediction!$B$8</f>
        <v>10.611074011031173</v>
      </c>
      <c r="D170" s="51">
        <f t="shared" si="18"/>
        <v>13.755109450060049</v>
      </c>
      <c r="E170" s="51">
        <f>((Prediction!$O$10-1)*F170*Prediction!$B$10/7)</f>
        <v>3.4398535880682646</v>
      </c>
      <c r="F170" s="51">
        <f t="shared" si="19"/>
        <v>32.462808549545912</v>
      </c>
      <c r="G170" s="51">
        <f t="shared" si="20"/>
        <v>35.902662137614179</v>
      </c>
      <c r="H170" s="51">
        <f t="shared" si="21"/>
        <v>64.097337862385814</v>
      </c>
      <c r="I170" s="25">
        <f t="shared" si="23"/>
        <v>8.7999999999999705</v>
      </c>
    </row>
    <row r="171" spans="1:9">
      <c r="A171" s="25">
        <f t="shared" si="22"/>
        <v>8.6999999999999709</v>
      </c>
      <c r="B171" s="51">
        <f>(Prediction!$O$9*Calibration!$B$49*SQRT(I171+Prediction!$F$7-Prediction!$F$9))-((0.32989795*(I171+Prediction!$F$7-Prediction!$F$9)-1.302))</f>
        <v>18.626733210379939</v>
      </c>
      <c r="C171" s="51">
        <f>I171*Calibration!$B$50*Prediction!$O$9*Prediction!$B$18/12500*'Degradation Model'!$B$26/Prediction!$B$8</f>
        <v>10.490493624542182</v>
      </c>
      <c r="D171" s="51">
        <f t="shared" si="18"/>
        <v>13.567855318723659</v>
      </c>
      <c r="E171" s="51">
        <f>((Prediction!$O$10-1)*F171*Prediction!$B$10/7)</f>
        <v>3.4114322147819065</v>
      </c>
      <c r="F171" s="51">
        <f t="shared" si="19"/>
        <v>32.194588529103598</v>
      </c>
      <c r="G171" s="51">
        <f t="shared" si="20"/>
        <v>35.606020743885502</v>
      </c>
      <c r="H171" s="51">
        <f t="shared" si="21"/>
        <v>64.393979256114505</v>
      </c>
      <c r="I171" s="25">
        <f t="shared" si="23"/>
        <v>8.6999999999999709</v>
      </c>
    </row>
    <row r="172" spans="1:9">
      <c r="A172" s="25">
        <f t="shared" si="22"/>
        <v>8.5999999999999712</v>
      </c>
      <c r="B172" s="51">
        <f>(Prediction!$O$9*Calibration!$B$49*SQRT(I172+Prediction!$F$7-Prediction!$F$9))-((0.32989795*(I172+Prediction!$F$7-Prediction!$F$9)-1.302))</f>
        <v>18.54512231532242</v>
      </c>
      <c r="C172" s="51">
        <f>I172*Calibration!$B$50*Prediction!$O$9*Prediction!$B$18/12500*'Degradation Model'!$B$26/Prediction!$B$8</f>
        <v>10.369913238053192</v>
      </c>
      <c r="D172" s="51">
        <f t="shared" si="18"/>
        <v>13.38145916991107</v>
      </c>
      <c r="E172" s="51">
        <f>((Prediction!$O$10-1)*F172*Prediction!$B$10/7)</f>
        <v>3.3830334091124241</v>
      </c>
      <c r="F172" s="51">
        <f t="shared" si="19"/>
        <v>31.926581485233491</v>
      </c>
      <c r="G172" s="51">
        <f t="shared" si="20"/>
        <v>35.309614894345913</v>
      </c>
      <c r="H172" s="51">
        <f t="shared" si="21"/>
        <v>64.690385105654087</v>
      </c>
      <c r="I172" s="25">
        <f t="shared" si="23"/>
        <v>8.5999999999999712</v>
      </c>
    </row>
    <row r="173" spans="1:9">
      <c r="A173" s="25">
        <f t="shared" si="22"/>
        <v>8.4999999999999716</v>
      </c>
      <c r="B173" s="51">
        <f>(Prediction!$O$9*Calibration!$B$49*SQRT(I173+Prediction!$F$7-Prediction!$F$9))-((0.32989795*(I173+Prediction!$F$7-Prediction!$F$9)-1.302))</f>
        <v>18.462855336240803</v>
      </c>
      <c r="C173" s="51">
        <f>I173*Calibration!$B$50*Prediction!$O$9*Prediction!$B$18/12500*'Degradation Model'!$B$26/Prediction!$B$8</f>
        <v>10.249332851564201</v>
      </c>
      <c r="D173" s="51">
        <f t="shared" si="18"/>
        <v>13.195912566188111</v>
      </c>
      <c r="E173" s="51">
        <f>((Prediction!$O$10-1)*F173*Prediction!$B$10/7)</f>
        <v>3.3546551031399843</v>
      </c>
      <c r="F173" s="51">
        <f t="shared" si="19"/>
        <v>31.658767902428913</v>
      </c>
      <c r="G173" s="51">
        <f t="shared" si="20"/>
        <v>35.013423005568896</v>
      </c>
      <c r="H173" s="51">
        <f t="shared" si="21"/>
        <v>64.986576994431104</v>
      </c>
      <c r="I173" s="25">
        <f t="shared" si="23"/>
        <v>8.4999999999999716</v>
      </c>
    </row>
    <row r="174" spans="1:9">
      <c r="A174" s="25">
        <f t="shared" si="22"/>
        <v>8.3999999999999719</v>
      </c>
      <c r="B174" s="51">
        <f>(Prediction!$O$9*Calibration!$B$49*SQRT(I174+Prediction!$F$7-Prediction!$F$9))-((0.32989795*(I174+Prediction!$F$7-Prediction!$F$9)-1.302))</f>
        <v>18.379920874271608</v>
      </c>
      <c r="C174" s="51">
        <f>I174*Calibration!$B$50*Prediction!$O$9*Prediction!$B$18/12500*'Degradation Model'!$B$26/Prediction!$B$8</f>
        <v>10.128752465075209</v>
      </c>
      <c r="D174" s="51">
        <f t="shared" si="18"/>
        <v>13.011207254809811</v>
      </c>
      <c r="E174" s="51">
        <f>((Prediction!$O$10-1)*F174*Prediction!$B$10/7)</f>
        <v>3.326295214523014</v>
      </c>
      <c r="F174" s="51">
        <f t="shared" si="19"/>
        <v>31.391128129081419</v>
      </c>
      <c r="G174" s="51">
        <f t="shared" si="20"/>
        <v>34.71742334360443</v>
      </c>
      <c r="H174" s="51">
        <f t="shared" si="21"/>
        <v>65.282576656395577</v>
      </c>
      <c r="I174" s="25">
        <f t="shared" si="23"/>
        <v>8.3999999999999719</v>
      </c>
    </row>
    <row r="175" spans="1:9">
      <c r="A175" s="25">
        <f t="shared" si="22"/>
        <v>8.2999999999999723</v>
      </c>
      <c r="B175" s="51">
        <f>(Prediction!$O$9*Calibration!$B$49*SQRT(I175+Prediction!$F$7-Prediction!$F$9))-((0.32989795*(I175+Prediction!$F$7-Prediction!$F$9)-1.302))</f>
        <v>18.296307196602854</v>
      </c>
      <c r="C175" s="51">
        <f>I175*Calibration!$B$50*Prediction!$O$9*Prediction!$B$18/12500*'Degradation Model'!$B$26/Prediction!$B$8</f>
        <v>10.00817207858622</v>
      </c>
      <c r="D175" s="51">
        <f t="shared" si="18"/>
        <v>12.827335163594425</v>
      </c>
      <c r="E175" s="51">
        <f>((Prediction!$O$10-1)*F175*Prediction!$B$10/7)</f>
        <v>3.2979516446667891</v>
      </c>
      <c r="F175" s="51">
        <f t="shared" si="19"/>
        <v>31.12364236019728</v>
      </c>
      <c r="G175" s="51">
        <f t="shared" si="20"/>
        <v>34.421594004864069</v>
      </c>
      <c r="H175" s="51">
        <f t="shared" si="21"/>
        <v>65.578405995135938</v>
      </c>
      <c r="I175" s="25">
        <f t="shared" si="23"/>
        <v>8.2999999999999723</v>
      </c>
    </row>
    <row r="176" spans="1:9">
      <c r="A176" s="25">
        <f t="shared" si="22"/>
        <v>8.1999999999999726</v>
      </c>
      <c r="B176" s="51">
        <f>(Prediction!$O$9*Calibration!$B$49*SQRT(I176+Prediction!$F$7-Prediction!$F$9))-((0.32989795*(I176+Prediction!$F$7-Prediction!$F$9)-1.302))</f>
        <v>18.212002222614363</v>
      </c>
      <c r="C176" s="51">
        <f>I176*Calibration!$B$50*Prediction!$O$9*Prediction!$B$18/12500*'Degradation Model'!$B$26/Prediction!$B$8</f>
        <v>9.8875916920972298</v>
      </c>
      <c r="D176" s="51">
        <f t="shared" si="18"/>
        <v>12.644288396966198</v>
      </c>
      <c r="E176" s="51">
        <f>((Prediction!$O$10-1)*F176*Prediction!$B$10/7)</f>
        <v>3.269622276835503</v>
      </c>
      <c r="F176" s="51">
        <f t="shared" si="19"/>
        <v>30.856290619580562</v>
      </c>
      <c r="G176" s="51">
        <f t="shared" si="20"/>
        <v>34.125912896416068</v>
      </c>
      <c r="H176" s="51">
        <f t="shared" si="21"/>
        <v>65.874087103583932</v>
      </c>
      <c r="I176" s="25">
        <f t="shared" si="23"/>
        <v>8.1999999999999726</v>
      </c>
    </row>
    <row r="177" spans="1:9">
      <c r="A177" s="25">
        <f t="shared" si="22"/>
        <v>8.099999999999973</v>
      </c>
      <c r="B177" s="51">
        <f>(Prediction!$O$9*Calibration!$B$49*SQRT(I177+Prediction!$F$7-Prediction!$F$9))-((0.32989795*(I177+Prediction!$F$7-Prediction!$F$9)-1.302))</f>
        <v>18.126993509269695</v>
      </c>
      <c r="C177" s="51">
        <f>I177*Calibration!$B$50*Prediction!$O$9*Prediction!$B$18/12500*'Degradation Model'!$B$26/Prediction!$B$8</f>
        <v>9.7670113056082375</v>
      </c>
      <c r="D177" s="51">
        <f t="shared" si="18"/>
        <v>12.462059232161629</v>
      </c>
      <c r="E177" s="51">
        <f>((Prediction!$O$10-1)*F177*Prediction!$B$10/7)</f>
        <v>3.2413049742023561</v>
      </c>
      <c r="F177" s="51">
        <f t="shared" si="19"/>
        <v>30.589052741431324</v>
      </c>
      <c r="G177" s="51">
        <f t="shared" si="20"/>
        <v>33.830357715633681</v>
      </c>
      <c r="H177" s="51">
        <f t="shared" si="21"/>
        <v>66.169642284366319</v>
      </c>
      <c r="I177" s="25">
        <f t="shared" si="23"/>
        <v>8.099999999999973</v>
      </c>
    </row>
    <row r="178" spans="1:9">
      <c r="A178" s="25">
        <f t="shared" si="22"/>
        <v>7.9999999999999734</v>
      </c>
      <c r="B178" s="51">
        <f>(Prediction!$O$9*Calibration!$B$49*SQRT(I178+Prediction!$F$7-Prediction!$F$9))-((0.32989795*(I178+Prediction!$F$7-Prediction!$F$9)-1.302))</f>
        <v>18.041268235709587</v>
      </c>
      <c r="C178" s="51">
        <f>I178*Calibration!$B$50*Prediction!$O$9*Prediction!$B$18/12500*'Degradation Model'!$B$26/Prediction!$B$8</f>
        <v>9.646430919119247</v>
      </c>
      <c r="D178" s="51">
        <f t="shared" si="18"/>
        <v>12.28064011559435</v>
      </c>
      <c r="E178" s="51">
        <f>((Prediction!$O$10-1)*F178*Prediction!$B$10/7)</f>
        <v>3.2129975778318456</v>
      </c>
      <c r="F178" s="51">
        <f t="shared" si="19"/>
        <v>30.321908351303939</v>
      </c>
      <c r="G178" s="51">
        <f t="shared" si="20"/>
        <v>33.534905929135782</v>
      </c>
      <c r="H178" s="51">
        <f t="shared" si="21"/>
        <v>66.465094070864211</v>
      </c>
      <c r="I178" s="25">
        <f t="shared" si="23"/>
        <v>7.9999999999999734</v>
      </c>
    </row>
    <row r="179" spans="1:9">
      <c r="A179" s="25">
        <f t="shared" si="22"/>
        <v>7.8999999999999737</v>
      </c>
      <c r="B179" s="51">
        <f>(Prediction!$O$9*Calibration!$B$49*SQRT(I179+Prediction!$F$7-Prediction!$F$9))-((0.32989795*(I179+Prediction!$F$7-Prediction!$F$9)-1.302))</f>
        <v>17.954813186992961</v>
      </c>
      <c r="C179" s="51">
        <f>I179*Calibration!$B$50*Prediction!$O$9*Prediction!$B$18/12500*'Degradation Model'!$B$26/Prediction!$B$8</f>
        <v>9.5258505326302565</v>
      </c>
      <c r="D179" s="51">
        <f t="shared" si="18"/>
        <v>12.100023659374106</v>
      </c>
      <c r="E179" s="51">
        <f>((Prediction!$O$10-1)*F179*Prediction!$B$10/7)</f>
        <v>3.1846979045880546</v>
      </c>
      <c r="F179" s="51">
        <f t="shared" si="19"/>
        <v>30.054836846367067</v>
      </c>
      <c r="G179" s="51">
        <f t="shared" si="20"/>
        <v>33.239534750955123</v>
      </c>
      <c r="H179" s="51">
        <f t="shared" si="21"/>
        <v>66.76046524904487</v>
      </c>
      <c r="I179" s="25">
        <f t="shared" si="23"/>
        <v>7.8999999999999737</v>
      </c>
    </row>
    <row r="180" spans="1:9">
      <c r="A180" s="25">
        <f t="shared" si="22"/>
        <v>7.7999999999999741</v>
      </c>
      <c r="B180" s="51">
        <f>(Prediction!$O$9*Calibration!$B$49*SQRT(I180+Prediction!$F$7-Prediction!$F$9))-((0.32989795*(I180+Prediction!$F$7-Prediction!$F$9)-1.302))</f>
        <v>17.867614736927159</v>
      </c>
      <c r="C180" s="51">
        <f>I180*Calibration!$B$50*Prediction!$O$9*Prediction!$B$18/12500*'Degradation Model'!$B$26/Prediction!$B$8</f>
        <v>9.405270146141266</v>
      </c>
      <c r="D180" s="51">
        <f t="shared" si="18"/>
        <v>11.920202637975613</v>
      </c>
      <c r="E180" s="51">
        <f>((Prediction!$O$10-1)*F180*Prediction!$B$10/7)</f>
        <v>3.156403744962319</v>
      </c>
      <c r="F180" s="51">
        <f t="shared" si="19"/>
        <v>29.787817374902772</v>
      </c>
      <c r="G180" s="51">
        <f t="shared" si="20"/>
        <v>32.944221119865091</v>
      </c>
      <c r="H180" s="51">
        <f t="shared" si="21"/>
        <v>67.055778880134909</v>
      </c>
      <c r="I180" s="25">
        <f t="shared" si="23"/>
        <v>7.7999999999999741</v>
      </c>
    </row>
    <row r="181" spans="1:9">
      <c r="A181" s="25">
        <f t="shared" si="22"/>
        <v>7.6999999999999744</v>
      </c>
      <c r="B181" s="51">
        <f>(Prediction!$O$9*Calibration!$B$49*SQRT(I181+Prediction!$F$7-Prediction!$F$9))-((0.32989795*(I181+Prediction!$F$7-Prediction!$F$9)-1.302))</f>
        <v>17.779658829924202</v>
      </c>
      <c r="C181" s="51">
        <f>I181*Calibration!$B$50*Prediction!$O$9*Prediction!$B$18/12500*'Degradation Model'!$B$26/Prediction!$B$8</f>
        <v>9.2846897596522755</v>
      </c>
      <c r="D181" s="51">
        <f t="shared" si="18"/>
        <v>11.741169985053469</v>
      </c>
      <c r="E181" s="51">
        <f>((Prediction!$O$10-1)*F181*Prediction!$B$10/7)</f>
        <v>3.1281128608131596</v>
      </c>
      <c r="F181" s="51">
        <f t="shared" si="19"/>
        <v>29.520828814977669</v>
      </c>
      <c r="G181" s="51">
        <f t="shared" si="20"/>
        <v>32.64894167579083</v>
      </c>
      <c r="H181" s="51">
        <f t="shared" si="21"/>
        <v>67.351058324209163</v>
      </c>
      <c r="I181" s="25">
        <f t="shared" si="23"/>
        <v>7.6999999999999744</v>
      </c>
    </row>
    <row r="182" spans="1:9">
      <c r="A182" s="25">
        <f t="shared" si="22"/>
        <v>7.5999999999999748</v>
      </c>
      <c r="B182" s="51">
        <f>(Prediction!$O$9*Calibration!$B$49*SQRT(I182+Prediction!$F$7-Prediction!$F$9))-((0.32989795*(I182+Prediction!$F$7-Prediction!$F$9)-1.302))</f>
        <v>17.690930961814704</v>
      </c>
      <c r="C182" s="51">
        <f>I182*Calibration!$B$50*Prediction!$O$9*Prediction!$B$18/12500*'Degradation Model'!$B$26/Prediction!$B$8</f>
        <v>9.164109373163285</v>
      </c>
      <c r="D182" s="51">
        <f t="shared" si="18"/>
        <v>11.562918790399532</v>
      </c>
      <c r="E182" s="51">
        <f>((Prediction!$O$10-1)*F182*Prediction!$B$10/7)</f>
        <v>3.0998229830108661</v>
      </c>
      <c r="F182" s="51">
        <f t="shared" si="19"/>
        <v>29.253849752214236</v>
      </c>
      <c r="G182" s="51">
        <f t="shared" si="20"/>
        <v>32.353672735225103</v>
      </c>
      <c r="H182" s="51">
        <f t="shared" si="21"/>
        <v>67.646327264774897</v>
      </c>
      <c r="I182" s="25">
        <f t="shared" si="23"/>
        <v>7.5999999999999748</v>
      </c>
    </row>
    <row r="183" spans="1:9">
      <c r="A183" s="25">
        <f t="shared" si="22"/>
        <v>7.4999999999999751</v>
      </c>
      <c r="B183" s="51">
        <f>(Prediction!$O$9*Calibration!$B$49*SQRT(I183+Prediction!$F$7-Prediction!$F$9))-((0.32989795*(I183+Prediction!$F$7-Prediction!$F$9)-1.302))</f>
        <v>17.601416159545362</v>
      </c>
      <c r="C183" s="51">
        <f>I183*Calibration!$B$50*Prediction!$O$9*Prediction!$B$18/12500*'Degradation Model'!$B$26/Prediction!$B$8</f>
        <v>9.0435289866742945</v>
      </c>
      <c r="D183" s="51">
        <f t="shared" si="18"/>
        <v>11.385442297039594</v>
      </c>
      <c r="E183" s="51">
        <f>((Prediction!$O$10-1)*F183*Prediction!$B$10/7)</f>
        <v>3.0715318089785373</v>
      </c>
      <c r="F183" s="51">
        <f t="shared" si="19"/>
        <v>28.986858456584955</v>
      </c>
      <c r="G183" s="51">
        <f t="shared" si="20"/>
        <v>32.058390265563489</v>
      </c>
      <c r="H183" s="51">
        <f t="shared" si="21"/>
        <v>67.941609734436511</v>
      </c>
      <c r="I183" s="25">
        <f t="shared" si="23"/>
        <v>7.4999999999999751</v>
      </c>
    </row>
    <row r="184" spans="1:9">
      <c r="A184" s="25">
        <f t="shared" si="22"/>
        <v>7.3999999999999755</v>
      </c>
      <c r="B184" s="51">
        <f>(Prediction!$O$9*Calibration!$B$49*SQRT(I184+Prediction!$F$7-Prediction!$F$9))-((0.32989795*(I184+Prediction!$F$7-Prediction!$F$9)-1.302))</f>
        <v>17.511098959679444</v>
      </c>
      <c r="C184" s="51">
        <f>I184*Calibration!$B$50*Prediction!$O$9*Prediction!$B$18/12500*'Degradation Model'!$B$26/Prediction!$B$8</f>
        <v>8.9229486001853022</v>
      </c>
      <c r="D184" s="51">
        <f t="shared" si="18"/>
        <v>11.208733898466392</v>
      </c>
      <c r="E184" s="51">
        <f>((Prediction!$O$10-1)*F184*Prediction!$B$10/7)</f>
        <v>3.0432370001207336</v>
      </c>
      <c r="F184" s="51">
        <f t="shared" si="19"/>
        <v>28.719832858145836</v>
      </c>
      <c r="G184" s="51">
        <f t="shared" si="20"/>
        <v>31.763069858266569</v>
      </c>
      <c r="H184" s="51">
        <f t="shared" si="21"/>
        <v>68.236930141733438</v>
      </c>
      <c r="I184" s="25">
        <f t="shared" si="23"/>
        <v>7.3999999999999755</v>
      </c>
    </row>
    <row r="185" spans="1:9">
      <c r="A185" s="25">
        <f t="shared" si="22"/>
        <v>7.2999999999999758</v>
      </c>
      <c r="B185" s="51">
        <f>(Prediction!$O$9*Calibration!$B$49*SQRT(I185+Prediction!$F$7-Prediction!$F$9))-((0.32989795*(I185+Prediction!$F$7-Prediction!$F$9)-1.302))</f>
        <v>17.419963385613059</v>
      </c>
      <c r="C185" s="51">
        <f>I185*Calibration!$B$50*Prediction!$O$9*Prediction!$B$18/12500*'Degradation Model'!$B$26/Prediction!$B$8</f>
        <v>8.8023682136963135</v>
      </c>
      <c r="D185" s="51">
        <f t="shared" si="18"/>
        <v>11.032787136006394</v>
      </c>
      <c r="E185" s="51">
        <f>((Prediction!$O$10-1)*F185*Prediction!$B$10/7)</f>
        <v>3.0149361791302227</v>
      </c>
      <c r="F185" s="51">
        <f t="shared" si="19"/>
        <v>28.452750521619453</v>
      </c>
      <c r="G185" s="51">
        <f t="shared" si="20"/>
        <v>31.467686700749677</v>
      </c>
      <c r="H185" s="51">
        <f t="shared" si="21"/>
        <v>68.532313299250319</v>
      </c>
      <c r="I185" s="25">
        <f t="shared" si="23"/>
        <v>7.2999999999999758</v>
      </c>
    </row>
    <row r="186" spans="1:9">
      <c r="A186" s="25">
        <f t="shared" si="22"/>
        <v>7.1999999999999762</v>
      </c>
      <c r="B186" s="51">
        <f>(Prediction!$O$9*Calibration!$B$49*SQRT(I186+Prediction!$F$7-Prediction!$F$9))-((0.32989795*(I186+Prediction!$F$7-Prediction!$F$9)-1.302))</f>
        <v>17.327992923411973</v>
      </c>
      <c r="C186" s="51">
        <f>I186*Calibration!$B$50*Prediction!$O$9*Prediction!$B$18/12500*'Degradation Model'!$B$26/Prediction!$B$8</f>
        <v>8.681787827207323</v>
      </c>
      <c r="D186" s="51">
        <f t="shared" si="18"/>
        <v>10.857595696318075</v>
      </c>
      <c r="E186" s="51">
        <f>((Prediction!$O$10-1)*F186*Prediction!$B$10/7)</f>
        <v>2.9866269271624879</v>
      </c>
      <c r="F186" s="51">
        <f t="shared" si="19"/>
        <v>28.185588619730048</v>
      </c>
      <c r="G186" s="51">
        <f t="shared" si="20"/>
        <v>31.172215546892534</v>
      </c>
      <c r="H186" s="51">
        <f t="shared" si="21"/>
        <v>68.827784453107469</v>
      </c>
      <c r="I186" s="25">
        <f t="shared" si="23"/>
        <v>7.1999999999999762</v>
      </c>
    </row>
    <row r="187" spans="1:9">
      <c r="A187" s="25">
        <f t="shared" ref="A187:A218" si="24">A186-0.1</f>
        <v>7.0999999999999766</v>
      </c>
      <c r="B187" s="51">
        <f>(Prediction!$O$9*Calibration!$B$49*SQRT(I187+Prediction!$F$7-Prediction!$F$9))-((0.32989795*(I187+Prediction!$F$7-Prediction!$F$9)-1.302))</f>
        <v>17.235170496165722</v>
      </c>
      <c r="C187" s="51">
        <f>I187*Calibration!$B$50*Prediction!$O$9*Prediction!$B$18/12500*'Degradation Model'!$B$26/Prediction!$B$8</f>
        <v>8.5612074407183325</v>
      </c>
      <c r="D187" s="51">
        <f t="shared" si="18"/>
        <v>10.683153409019672</v>
      </c>
      <c r="E187" s="51">
        <f>((Prediction!$O$10-1)*F187*Prediction!$B$10/7)</f>
        <v>2.9583067808668493</v>
      </c>
      <c r="F187" s="51">
        <f t="shared" si="19"/>
        <v>27.918323905185396</v>
      </c>
      <c r="G187" s="51">
        <f t="shared" si="20"/>
        <v>30.876630686052245</v>
      </c>
      <c r="H187" s="51">
        <f t="shared" si="21"/>
        <v>69.123369313947762</v>
      </c>
      <c r="I187" s="25">
        <f t="shared" ref="I187:I218" si="25">I186-0.1</f>
        <v>7.0999999999999766</v>
      </c>
    </row>
    <row r="188" spans="1:9">
      <c r="A188" s="25">
        <f t="shared" si="24"/>
        <v>6.9999999999999769</v>
      </c>
      <c r="B188" s="51">
        <f>(Prediction!$O$9*Calibration!$B$49*SQRT(I188+Prediction!$F$7-Prediction!$F$9))-((0.32989795*(I188+Prediction!$F$7-Prediction!$F$9)-1.302))</f>
        <v>17.141478436746095</v>
      </c>
      <c r="C188" s="51">
        <f>I188*Calibration!$B$50*Prediction!$O$9*Prediction!$B$18/12500*'Degradation Model'!$B$26/Prediction!$B$8</f>
        <v>8.440627054229342</v>
      </c>
      <c r="D188" s="51">
        <f t="shared" si="18"/>
        <v>10.509454244444822</v>
      </c>
      <c r="E188" s="51">
        <f>((Prediction!$O$10-1)*F188*Prediction!$B$10/7)</f>
        <v>2.9299732292620466</v>
      </c>
      <c r="F188" s="51">
        <f t="shared" si="19"/>
        <v>27.650932681190916</v>
      </c>
      <c r="G188" s="51">
        <f t="shared" si="20"/>
        <v>30.580905910452962</v>
      </c>
      <c r="H188" s="51">
        <f t="shared" si="21"/>
        <v>69.419094089547031</v>
      </c>
      <c r="I188" s="25">
        <f t="shared" si="25"/>
        <v>6.9999999999999769</v>
      </c>
    </row>
    <row r="189" spans="1:9">
      <c r="A189" s="25">
        <f t="shared" si="24"/>
        <v>6.8999999999999773</v>
      </c>
      <c r="B189" s="51">
        <f>(Prediction!$O$9*Calibration!$B$49*SQRT(I189+Prediction!$F$7-Prediction!$F$9))-((0.32989795*(I189+Prediction!$F$7-Prediction!$F$9)-1.302))</f>
        <v>17.046898458847032</v>
      </c>
      <c r="C189" s="51">
        <f>I189*Calibration!$B$50*Prediction!$O$9*Prediction!$B$18/12500*'Degradation Model'!$B$26/Prediction!$B$8</f>
        <v>8.3200466677403515</v>
      </c>
      <c r="D189" s="51">
        <f t="shared" si="18"/>
        <v>10.33649231152469</v>
      </c>
      <c r="E189" s="51">
        <f>((Prediction!$O$10-1)*F189*Prediction!$B$10/7)</f>
        <v>2.9016237104431362</v>
      </c>
      <c r="F189" s="51">
        <f t="shared" si="19"/>
        <v>27.383390770371722</v>
      </c>
      <c r="G189" s="51">
        <f t="shared" si="20"/>
        <v>30.285014480814858</v>
      </c>
      <c r="H189" s="51">
        <f t="shared" si="21"/>
        <v>69.714985519185149</v>
      </c>
      <c r="I189" s="25">
        <f t="shared" si="25"/>
        <v>6.8999999999999773</v>
      </c>
    </row>
    <row r="190" spans="1:9">
      <c r="A190" s="25">
        <f t="shared" si="24"/>
        <v>6.7999999999999776</v>
      </c>
      <c r="B190" s="51">
        <f>(Prediction!$O$9*Calibration!$B$49*SQRT(I190+Prediction!$F$7-Prediction!$F$9))-((0.32989795*(I190+Prediction!$F$7-Prediction!$F$9)-1.302))</f>
        <v>16.951411626171556</v>
      </c>
      <c r="C190" s="51">
        <f>I190*Calibration!$B$50*Prediction!$O$9*Prediction!$B$18/12500*'Degradation Model'!$B$26/Prediction!$B$8</f>
        <v>8.199466281251361</v>
      </c>
      <c r="D190" s="51">
        <f t="shared" si="18"/>
        <v>10.164261855795617</v>
      </c>
      <c r="E190" s="51">
        <f>((Prediction!$O$10-1)*F190*Prediction!$B$10/7)</f>
        <v>2.8732556081053247</v>
      </c>
      <c r="F190" s="51">
        <f t="shared" si="19"/>
        <v>27.115673481967171</v>
      </c>
      <c r="G190" s="51">
        <f t="shared" si="20"/>
        <v>29.988929090072496</v>
      </c>
      <c r="H190" s="51">
        <f t="shared" si="21"/>
        <v>70.011070909927497</v>
      </c>
      <c r="I190" s="25">
        <f t="shared" si="25"/>
        <v>6.7999999999999776</v>
      </c>
    </row>
    <row r="191" spans="1:9">
      <c r="A191" s="25">
        <f t="shared" si="24"/>
        <v>6.699999999999978</v>
      </c>
      <c r="B191" s="51">
        <f>(Prediction!$O$9*Calibration!$B$49*SQRT(I191+Prediction!$F$7-Prediction!$F$9))-((0.32989795*(I191+Prediction!$F$7-Prediction!$F$9)-1.302))</f>
        <v>16.85499831961868</v>
      </c>
      <c r="C191" s="51">
        <f>I191*Calibration!$B$50*Prediction!$O$9*Prediction!$B$18/12500*'Degradation Model'!$B$26/Prediction!$B$8</f>
        <v>8.0788858947623705</v>
      </c>
      <c r="D191" s="51">
        <f t="shared" si="18"/>
        <v>9.9927572575315882</v>
      </c>
      <c r="E191" s="51">
        <f>((Prediction!$O$10-1)*F191*Prediction!$B$10/7)</f>
        <v>2.8448662478691156</v>
      </c>
      <c r="F191" s="51">
        <f t="shared" si="19"/>
        <v>26.847755577150267</v>
      </c>
      <c r="G191" s="51">
        <f t="shared" si="20"/>
        <v>29.692621825019383</v>
      </c>
      <c r="H191" s="51">
        <f t="shared" si="21"/>
        <v>70.307378174980613</v>
      </c>
      <c r="I191" s="25">
        <f t="shared" si="25"/>
        <v>6.699999999999978</v>
      </c>
    </row>
    <row r="192" spans="1:9">
      <c r="A192" s="25">
        <f t="shared" si="24"/>
        <v>6.5999999999999783</v>
      </c>
      <c r="B192" s="51">
        <f>(Prediction!$O$9*Calibration!$B$49*SQRT(I192+Prediction!$F$7-Prediction!$F$9))-((0.32989795*(I192+Prediction!$F$7-Prediction!$F$9)-1.302))</f>
        <v>16.757638202309337</v>
      </c>
      <c r="C192" s="51">
        <f>I192*Calibration!$B$50*Prediction!$O$9*Prediction!$B$18/12500*'Degradation Model'!$B$26/Prediction!$B$8</f>
        <v>7.9583055082733791</v>
      </c>
      <c r="D192" s="51">
        <f t="shared" si="18"/>
        <v>9.8219730300012014</v>
      </c>
      <c r="E192" s="51">
        <f>((Prediction!$O$10-1)*F192*Prediction!$B$10/7)</f>
        <v>2.8164528933896533</v>
      </c>
      <c r="F192" s="51">
        <f t="shared" si="19"/>
        <v>26.57961123231054</v>
      </c>
      <c r="G192" s="51">
        <f t="shared" si="20"/>
        <v>29.396064125700192</v>
      </c>
      <c r="H192" s="51">
        <f t="shared" si="21"/>
        <v>70.603935874299808</v>
      </c>
      <c r="I192" s="25">
        <f t="shared" si="25"/>
        <v>6.5999999999999783</v>
      </c>
    </row>
    <row r="193" spans="1:9">
      <c r="A193" s="25">
        <f t="shared" si="24"/>
        <v>6.4999999999999787</v>
      </c>
      <c r="B193" s="51">
        <f>(Prediction!$O$9*Calibration!$B$49*SQRT(I193+Prediction!$F$7-Prediction!$F$9))-((0.32989795*(I193+Prediction!$F$7-Prediction!$F$9)-1.302))</f>
        <v>16.659310182274776</v>
      </c>
      <c r="C193" s="51">
        <f>I193*Calibration!$B$50*Prediction!$O$9*Prediction!$B$18/12500*'Degradation Model'!$B$26/Prediction!$B$8</f>
        <v>7.8377251217843895</v>
      </c>
      <c r="D193" s="51">
        <f t="shared" si="18"/>
        <v>9.6519038178491723</v>
      </c>
      <c r="E193" s="51">
        <f>((Prediction!$O$10-1)*F193*Prediction!$B$10/7)</f>
        <v>2.7880127422315817</v>
      </c>
      <c r="F193" s="51">
        <f t="shared" si="19"/>
        <v>26.311214000123947</v>
      </c>
      <c r="G193" s="51">
        <f t="shared" si="20"/>
        <v>29.09922674235553</v>
      </c>
      <c r="H193" s="51">
        <f t="shared" si="21"/>
        <v>70.900773257644474</v>
      </c>
      <c r="I193" s="25">
        <f t="shared" si="25"/>
        <v>6.4999999999999787</v>
      </c>
    </row>
    <row r="194" spans="1:9">
      <c r="A194" s="25">
        <f t="shared" si="24"/>
        <v>6.399999999999979</v>
      </c>
      <c r="B194" s="51">
        <f>(Prediction!$O$9*Calibration!$B$49*SQRT(I194+Prediction!$F$7-Prediction!$F$9))-((0.32989795*(I194+Prediction!$F$7-Prediction!$F$9)-1.302))</f>
        <v>16.559992372613603</v>
      </c>
      <c r="C194" s="51">
        <f>I194*Calibration!$B$50*Prediction!$O$9*Prediction!$B$18/12500*'Degradation Model'!$B$26/Prediction!$B$8</f>
        <v>7.7171447352953981</v>
      </c>
      <c r="D194" s="51">
        <f t="shared" si="18"/>
        <v>9.4825443956027655</v>
      </c>
      <c r="E194" s="51">
        <f>((Prediction!$O$10-1)*F194*Prediction!$B$10/7)</f>
        <v>2.7595429214889009</v>
      </c>
      <c r="F194" s="51">
        <f t="shared" si="19"/>
        <v>26.042536768216369</v>
      </c>
      <c r="G194" s="51">
        <f t="shared" si="20"/>
        <v>28.80207968970527</v>
      </c>
      <c r="H194" s="51">
        <f t="shared" si="21"/>
        <v>71.197920310294734</v>
      </c>
      <c r="I194" s="25">
        <f t="shared" si="25"/>
        <v>6.399999999999979</v>
      </c>
    </row>
    <row r="195" spans="1:9">
      <c r="A195" s="25">
        <f t="shared" si="24"/>
        <v>6.2999999999999794</v>
      </c>
      <c r="B195" s="51">
        <f>(Prediction!$O$9*Calibration!$B$49*SQRT(I195+Prediction!$F$7-Prediction!$F$9))-((0.32989795*(I195+Prediction!$F$7-Prediction!$F$9)-1.302))</f>
        <v>16.45966204890437</v>
      </c>
      <c r="C195" s="51">
        <f>I195*Calibration!$B$50*Prediction!$O$9*Prediction!$B$18/12500*'Degradation Model'!$B$26/Prediction!$B$8</f>
        <v>7.5965643488064076</v>
      </c>
      <c r="D195" s="51">
        <f t="shared" si="18"/>
        <v>9.3138896663039628</v>
      </c>
      <c r="E195" s="51">
        <f>((Prediction!$O$10-1)*F195*Prediction!$B$10/7)</f>
        <v>2.7310404831273449</v>
      </c>
      <c r="F195" s="51">
        <f t="shared" si="19"/>
        <v>25.773551715208335</v>
      </c>
      <c r="G195" s="51">
        <f t="shared" si="20"/>
        <v>28.504592198335679</v>
      </c>
      <c r="H195" s="51">
        <f t="shared" si="21"/>
        <v>71.495407801664328</v>
      </c>
      <c r="I195" s="25">
        <f t="shared" si="25"/>
        <v>6.2999999999999794</v>
      </c>
    </row>
    <row r="196" spans="1:9">
      <c r="A196" s="25">
        <f t="shared" si="24"/>
        <v>6.1999999999999797</v>
      </c>
      <c r="B196" s="51">
        <f>(Prediction!$O$9*Calibration!$B$49*SQRT(I196+Prediction!$F$7-Prediction!$F$9))-((0.32989795*(I196+Prediction!$F$7-Prediction!$F$9)-1.302))</f>
        <v>16.358295603639032</v>
      </c>
      <c r="C196" s="51">
        <f>I196*Calibration!$B$50*Prediction!$O$9*Prediction!$B$18/12500*'Degradation Model'!$B$26/Prediction!$B$8</f>
        <v>7.4759839623174171</v>
      </c>
      <c r="D196" s="51">
        <f t="shared" si="18"/>
        <v>9.145934660268578</v>
      </c>
      <c r="E196" s="51">
        <f>((Prediction!$O$10-1)*F196*Prediction!$B$10/7)</f>
        <v>2.7025023990245289</v>
      </c>
      <c r="F196" s="51">
        <f t="shared" si="19"/>
        <v>25.504230263907608</v>
      </c>
      <c r="G196" s="51">
        <f t="shared" si="20"/>
        <v>28.206732662932136</v>
      </c>
      <c r="H196" s="51">
        <f t="shared" si="21"/>
        <v>71.79326733706786</v>
      </c>
      <c r="I196" s="25">
        <f t="shared" si="25"/>
        <v>6.1999999999999797</v>
      </c>
    </row>
    <row r="197" spans="1:9">
      <c r="A197" s="25">
        <f t="shared" si="24"/>
        <v>6.0999999999999801</v>
      </c>
      <c r="B197" s="51">
        <f>(Prediction!$O$9*Calibration!$B$49*SQRT(I197+Prediction!$F$7-Prediction!$F$9))-((0.32989795*(I197+Prediction!$F$7-Prediction!$F$9)-1.302))</f>
        <v>16.255868497418497</v>
      </c>
      <c r="C197" s="51">
        <f>I197*Calibration!$B$50*Prediction!$O$9*Prediction!$B$18/12500*'Degradation Model'!$B$26/Prediction!$B$8</f>
        <v>7.3554035758284266</v>
      </c>
      <c r="D197" s="51">
        <f t="shared" si="18"/>
        <v>8.9786745339739777</v>
      </c>
      <c r="E197" s="51">
        <f>((Prediction!$O$10-1)*F197*Prediction!$B$10/7)</f>
        <v>2.6739255556806292</v>
      </c>
      <c r="F197" s="51">
        <f t="shared" si="19"/>
        <v>25.234543031392477</v>
      </c>
      <c r="G197" s="51">
        <f t="shared" si="20"/>
        <v>27.908468587073106</v>
      </c>
      <c r="H197" s="51">
        <f t="shared" si="21"/>
        <v>72.091531412926898</v>
      </c>
      <c r="I197" s="25">
        <f t="shared" si="25"/>
        <v>6.0999999999999801</v>
      </c>
    </row>
    <row r="198" spans="1:9">
      <c r="A198" s="25">
        <f t="shared" si="24"/>
        <v>5.9999999999999805</v>
      </c>
      <c r="B198" s="51">
        <f>(Prediction!$O$9*Calibration!$B$49*SQRT(I198+Prediction!$F$7-Prediction!$F$9))-((0.32989795*(I198+Prediction!$F$7-Prediction!$F$9)-1.302))</f>
        <v>16.152355206624655</v>
      </c>
      <c r="C198" s="51">
        <f>I198*Calibration!$B$50*Prediction!$O$9*Prediction!$B$18/12500*'Degradation Model'!$B$26/Prediction!$B$8</f>
        <v>7.2348231893394352</v>
      </c>
      <c r="D198" s="51">
        <f t="shared" si="18"/>
        <v>8.8121045690775368</v>
      </c>
      <c r="E198" s="51">
        <f>((Prediction!$O$10-1)*F198*Prediction!$B$10/7)</f>
        <v>2.6453067485695492</v>
      </c>
      <c r="F198" s="51">
        <f t="shared" si="19"/>
        <v>24.964459775702192</v>
      </c>
      <c r="G198" s="51">
        <f t="shared" si="20"/>
        <v>27.609766524271741</v>
      </c>
      <c r="H198" s="51">
        <f t="shared" si="21"/>
        <v>72.390233475728252</v>
      </c>
      <c r="I198" s="25">
        <f t="shared" si="25"/>
        <v>5.9999999999999805</v>
      </c>
    </row>
    <row r="199" spans="1:9">
      <c r="A199" s="25">
        <f t="shared" si="24"/>
        <v>5.8999999999999808</v>
      </c>
      <c r="B199" s="51">
        <f>(Prediction!$O$9*Calibration!$B$49*SQRT(I199+Prediction!$F$7-Prediction!$F$9))-((0.32989795*(I199+Prediction!$F$7-Prediction!$F$9)-1.302))</f>
        <v>16.047729167252733</v>
      </c>
      <c r="C199" s="51">
        <f>I199*Calibration!$B$50*Prediction!$O$9*Prediction!$B$18/12500*'Degradation Model'!$B$26/Prediction!$B$8</f>
        <v>7.1142428028504456</v>
      </c>
      <c r="D199" s="51">
        <f t="shared" si="18"/>
        <v>8.6462201715684532</v>
      </c>
      <c r="E199" s="51">
        <f>((Prediction!$O$10-1)*F199*Prediction!$B$10/7)</f>
        <v>2.6166426760973578</v>
      </c>
      <c r="F199" s="51">
        <f t="shared" si="19"/>
        <v>24.693949338821184</v>
      </c>
      <c r="G199" s="51">
        <f t="shared" si="20"/>
        <v>27.310592014918541</v>
      </c>
      <c r="H199" s="51">
        <f t="shared" si="21"/>
        <v>72.689407985081459</v>
      </c>
      <c r="I199" s="25">
        <f t="shared" si="25"/>
        <v>5.8999999999999808</v>
      </c>
    </row>
    <row r="200" spans="1:9">
      <c r="A200" s="25">
        <f t="shared" si="24"/>
        <v>5.7999999999999812</v>
      </c>
      <c r="B200" s="51">
        <f>(Prediction!$O$9*Calibration!$B$49*SQRT(I200+Prediction!$F$7-Prediction!$F$9))-((0.32989795*(I200+Prediction!$F$7-Prediction!$F$9)-1.302))</f>
        <v>15.941962714554027</v>
      </c>
      <c r="C200" s="51">
        <f>I200*Calibration!$B$50*Prediction!$O$9*Prediction!$B$18/12500*'Degradation Model'!$B$26/Prediction!$B$8</f>
        <v>6.9936624163614569</v>
      </c>
      <c r="D200" s="51">
        <f t="shared" ref="D200:D256" si="26">D201+($C$257*100/H201)</f>
        <v>8.48101687105612</v>
      </c>
      <c r="E200" s="51">
        <f>((Prediction!$O$10-1)*F200*Prediction!$B$10/7)</f>
        <v>2.5879299331312535</v>
      </c>
      <c r="F200" s="51">
        <f t="shared" ref="F200:F257" si="27">B200+D200</f>
        <v>24.422979585610147</v>
      </c>
      <c r="G200" s="51">
        <f t="shared" ref="G200:G257" si="28">F200+E200</f>
        <v>27.0109095187414</v>
      </c>
      <c r="H200" s="51">
        <f t="shared" ref="H200:H257" si="29">IF(100-G200&lt;10,10,100-G200)</f>
        <v>72.9890904812586</v>
      </c>
      <c r="I200" s="25">
        <f t="shared" si="25"/>
        <v>5.7999999999999812</v>
      </c>
    </row>
    <row r="201" spans="1:9">
      <c r="A201" s="25">
        <f t="shared" si="24"/>
        <v>5.6999999999999815</v>
      </c>
      <c r="B201" s="51">
        <f>(Prediction!$O$9*Calibration!$B$49*SQRT(I201+Prediction!$F$7-Prediction!$F$9))-((0.32989795*(I201+Prediction!$F$7-Prediction!$F$9)-1.302))</f>
        <v>15.83502701810054</v>
      </c>
      <c r="C201" s="51">
        <f>I201*Calibration!$B$50*Prediction!$O$9*Prediction!$B$18/12500*'Degradation Model'!$B$26/Prediction!$B$8</f>
        <v>6.8730820298724655</v>
      </c>
      <c r="D201" s="51">
        <f t="shared" si="26"/>
        <v>8.316490320198815</v>
      </c>
      <c r="E201" s="51">
        <f>((Prediction!$O$10-1)*F201*Prediction!$B$10/7)</f>
        <v>2.5591650040582836</v>
      </c>
      <c r="F201" s="51">
        <f t="shared" si="27"/>
        <v>24.151517338299357</v>
      </c>
      <c r="G201" s="51">
        <f t="shared" si="28"/>
        <v>26.710682342357639</v>
      </c>
      <c r="H201" s="51">
        <f t="shared" si="29"/>
        <v>73.289317657642357</v>
      </c>
      <c r="I201" s="25">
        <f t="shared" si="25"/>
        <v>5.6999999999999815</v>
      </c>
    </row>
    <row r="202" spans="1:9">
      <c r="A202" s="25">
        <f t="shared" si="24"/>
        <v>5.5999999999999819</v>
      </c>
      <c r="B202" s="51">
        <f>(Prediction!$O$9*Calibration!$B$49*SQRT(I202+Prediction!$F$7-Prediction!$F$9))-((0.32989795*(I202+Prediction!$F$7-Prediction!$F$9)-1.302))</f>
        <v>15.726892011839846</v>
      </c>
      <c r="C202" s="51">
        <f>I202*Calibration!$B$50*Prediction!$O$9*Prediction!$B$18/12500*'Degradation Model'!$B$26/Prediction!$B$8</f>
        <v>6.752501643383475</v>
      </c>
      <c r="D202" s="51">
        <f t="shared" si="26"/>
        <v>8.1526362942771264</v>
      </c>
      <c r="E202" s="51">
        <f>((Prediction!$O$10-1)*F202*Prediction!$B$10/7)</f>
        <v>2.5303442553285538</v>
      </c>
      <c r="F202" s="51">
        <f t="shared" si="27"/>
        <v>23.879528306116974</v>
      </c>
      <c r="G202" s="51">
        <f t="shared" si="28"/>
        <v>26.409872561445528</v>
      </c>
      <c r="H202" s="51">
        <f t="shared" si="29"/>
        <v>73.590127438554475</v>
      </c>
      <c r="I202" s="25">
        <f t="shared" si="25"/>
        <v>5.5999999999999819</v>
      </c>
    </row>
    <row r="203" spans="1:9">
      <c r="A203" s="25">
        <f t="shared" si="24"/>
        <v>5.4999999999999822</v>
      </c>
      <c r="B203" s="51">
        <f>(Prediction!$O$9*Calibration!$B$49*SQRT(I203+Prediction!$F$7-Prediction!$F$9))-((0.32989795*(I203+Prediction!$F$7-Prediction!$F$9)-1.302))</f>
        <v>15.617526318659495</v>
      </c>
      <c r="C203" s="51">
        <f>I203*Calibration!$B$50*Prediction!$O$9*Prediction!$B$18/12500*'Degradation Model'!$B$26/Prediction!$B$8</f>
        <v>6.6319212568944845</v>
      </c>
      <c r="D203" s="51">
        <f t="shared" si="26"/>
        <v>7.9894506909172334</v>
      </c>
      <c r="E203" s="51">
        <f>((Prediction!$O$10-1)*F203*Prediction!$B$10/7)</f>
        <v>2.5014639274325332</v>
      </c>
      <c r="F203" s="51">
        <f t="shared" si="27"/>
        <v>23.606977009576728</v>
      </c>
      <c r="G203" s="51">
        <f t="shared" si="28"/>
        <v>26.108440937009259</v>
      </c>
      <c r="H203" s="51">
        <f t="shared" si="29"/>
        <v>73.891559062990737</v>
      </c>
      <c r="I203" s="25">
        <f t="shared" si="25"/>
        <v>5.4999999999999822</v>
      </c>
    </row>
    <row r="204" spans="1:9">
      <c r="A204" s="25">
        <f t="shared" si="24"/>
        <v>5.3999999999999826</v>
      </c>
      <c r="B204" s="51">
        <f>(Prediction!$O$9*Calibration!$B$49*SQRT(I204+Prediction!$F$7-Prediction!$F$9))-((0.32989795*(I204+Prediction!$F$7-Prediction!$F$9)-1.302))</f>
        <v>15.50689716892488</v>
      </c>
      <c r="C204" s="51">
        <f>I204*Calibration!$B$50*Prediction!$O$9*Prediction!$B$18/12500*'Degradation Model'!$B$26/Prediction!$B$8</f>
        <v>6.5113408704054931</v>
      </c>
      <c r="D204" s="51">
        <f t="shared" si="26"/>
        <v>7.8269295299699406</v>
      </c>
      <c r="E204" s="51">
        <f>((Prediction!$O$10-1)*F204*Prediction!$B$10/7)</f>
        <v>2.4725201262562715</v>
      </c>
      <c r="F204" s="51">
        <f t="shared" si="27"/>
        <v>23.333826698894821</v>
      </c>
      <c r="G204" s="51">
        <f t="shared" si="28"/>
        <v>25.806346825151092</v>
      </c>
      <c r="H204" s="51">
        <f t="shared" si="29"/>
        <v>74.193653174848905</v>
      </c>
      <c r="I204" s="25">
        <f t="shared" si="25"/>
        <v>5.3999999999999826</v>
      </c>
    </row>
    <row r="205" spans="1:9">
      <c r="A205" s="25">
        <f t="shared" si="24"/>
        <v>5.2999999999999829</v>
      </c>
      <c r="B205" s="51">
        <f>(Prediction!$O$9*Calibration!$B$49*SQRT(I205+Prediction!$F$7-Prediction!$F$9))-((0.32989795*(I205+Prediction!$F$7-Prediction!$F$9)-1.302))</f>
        <v>15.39497031239139</v>
      </c>
      <c r="C205" s="51">
        <f>I205*Calibration!$B$50*Prediction!$O$9*Prediction!$B$18/12500*'Degradation Model'!$B$26/Prediction!$B$8</f>
        <v>6.3907604839165026</v>
      </c>
      <c r="D205" s="51">
        <f t="shared" si="26"/>
        <v>7.665068953552197</v>
      </c>
      <c r="E205" s="51">
        <f>((Prediction!$O$10-1)*F205*Prediction!$B$10/7)</f>
        <v>2.4435088137517509</v>
      </c>
      <c r="F205" s="51">
        <f t="shared" si="27"/>
        <v>23.060039265943587</v>
      </c>
      <c r="G205" s="51">
        <f t="shared" si="28"/>
        <v>25.503548079695339</v>
      </c>
      <c r="H205" s="51">
        <f t="shared" si="29"/>
        <v>74.496451920304665</v>
      </c>
      <c r="I205" s="25">
        <f t="shared" si="25"/>
        <v>5.2999999999999829</v>
      </c>
    </row>
    <row r="206" spans="1:9">
      <c r="A206" s="25">
        <f t="shared" si="24"/>
        <v>5.1999999999999833</v>
      </c>
      <c r="B206" s="51">
        <f>(Prediction!$O$9*Calibration!$B$49*SQRT(I206+Prediction!$F$7-Prediction!$F$9))-((0.32989795*(I206+Prediction!$F$7-Prediction!$F$9)-1.302))</f>
        <v>15.281709922820118</v>
      </c>
      <c r="C206" s="51">
        <f>I206*Calibration!$B$50*Prediction!$O$9*Prediction!$B$18/12500*'Degradation Model'!$B$26/Prediction!$B$8</f>
        <v>6.270180097427513</v>
      </c>
      <c r="D206" s="51">
        <f t="shared" si="26"/>
        <v>7.5038652262588004</v>
      </c>
      <c r="E206" s="51">
        <f>((Prediction!$O$10-1)*F206*Prediction!$B$10/7)</f>
        <v>2.4144257978521262</v>
      </c>
      <c r="F206" s="51">
        <f t="shared" si="27"/>
        <v>22.78557514907892</v>
      </c>
      <c r="G206" s="51">
        <f t="shared" si="28"/>
        <v>25.200000946931045</v>
      </c>
      <c r="H206" s="51">
        <f t="shared" si="29"/>
        <v>74.799999053068959</v>
      </c>
      <c r="I206" s="25">
        <f t="shared" si="25"/>
        <v>5.1999999999999833</v>
      </c>
    </row>
    <row r="207" spans="1:9">
      <c r="A207" s="25">
        <f t="shared" si="24"/>
        <v>5.0999999999999837</v>
      </c>
      <c r="B207" s="51">
        <f>(Prediction!$O$9*Calibration!$B$49*SQRT(I207+Prediction!$F$7-Prediction!$F$9))-((0.32989795*(I207+Prediction!$F$7-Prediction!$F$9)-1.302))</f>
        <v>15.167078494544477</v>
      </c>
      <c r="C207" s="51">
        <f>I207*Calibration!$B$50*Prediction!$O$9*Prediction!$B$18/12500*'Degradation Model'!$B$26/Prediction!$B$8</f>
        <v>6.1495997109385216</v>
      </c>
      <c r="D207" s="51">
        <f t="shared" si="26"/>
        <v>7.3433147355530073</v>
      </c>
      <c r="E207" s="51">
        <f>((Prediction!$O$10-1)*F207*Prediction!$B$10/7)</f>
        <v>2.3852667215530099</v>
      </c>
      <c r="F207" s="51">
        <f t="shared" si="27"/>
        <v>22.510393230097485</v>
      </c>
      <c r="G207" s="51">
        <f t="shared" si="28"/>
        <v>24.895659951650494</v>
      </c>
      <c r="H207" s="51">
        <f t="shared" si="29"/>
        <v>75.104340048349513</v>
      </c>
      <c r="I207" s="25">
        <f t="shared" si="25"/>
        <v>5.0999999999999837</v>
      </c>
    </row>
    <row r="208" spans="1:9">
      <c r="A208" s="25">
        <f t="shared" si="24"/>
        <v>4.999999999999984</v>
      </c>
      <c r="B208" s="51">
        <f>(Prediction!$O$9*Calibration!$B$49*SQRT(I208+Prediction!$F$7-Prediction!$F$9))-((0.32989795*(I208+Prediction!$F$7-Prediction!$F$9)-1.302))</f>
        <v>15.051036730141707</v>
      </c>
      <c r="C208" s="51">
        <f>I208*Calibration!$B$50*Prediction!$O$9*Prediction!$B$18/12500*'Degradation Model'!$B$26/Prediction!$B$8</f>
        <v>6.029019324449532</v>
      </c>
      <c r="D208" s="51">
        <f t="shared" si="26"/>
        <v>7.1834139923459475</v>
      </c>
      <c r="E208" s="51">
        <f>((Prediction!$O$10-1)*F208*Prediction!$B$10/7)</f>
        <v>2.356027051071218</v>
      </c>
      <c r="F208" s="51">
        <f t="shared" si="27"/>
        <v>22.234450722487654</v>
      </c>
      <c r="G208" s="51">
        <f t="shared" si="28"/>
        <v>24.590477773558874</v>
      </c>
      <c r="H208" s="51">
        <f t="shared" si="29"/>
        <v>75.409522226441126</v>
      </c>
      <c r="I208" s="25">
        <f t="shared" si="25"/>
        <v>4.999999999999984</v>
      </c>
    </row>
    <row r="209" spans="1:9">
      <c r="A209" s="25">
        <f t="shared" si="24"/>
        <v>4.8999999999999844</v>
      </c>
      <c r="B209" s="51">
        <f>(Prediction!$O$9*Calibration!$B$49*SQRT(I209+Prediction!$F$7-Prediction!$F$9))-((0.32989795*(I209+Prediction!$F$7-Prediction!$F$9)-1.302))</f>
        <v>14.933543418256036</v>
      </c>
      <c r="C209" s="51">
        <f>I209*Calibration!$B$50*Prediction!$O$9*Prediction!$B$18/12500*'Degradation Model'!$B$26/Prediction!$B$8</f>
        <v>5.9084389379605406</v>
      </c>
      <c r="D209" s="51">
        <f t="shared" si="26"/>
        <v>7.0241596317760395</v>
      </c>
      <c r="E209" s="51">
        <f>((Prediction!$O$10-1)*F209*Prediction!$B$10/7)</f>
        <v>2.3267020629811417</v>
      </c>
      <c r="F209" s="51">
        <f t="shared" si="27"/>
        <v>21.957703050032077</v>
      </c>
      <c r="G209" s="51">
        <f t="shared" si="28"/>
        <v>24.284405113013218</v>
      </c>
      <c r="H209" s="51">
        <f t="shared" si="29"/>
        <v>75.715594886986779</v>
      </c>
      <c r="I209" s="25">
        <f t="shared" si="25"/>
        <v>4.8999999999999844</v>
      </c>
    </row>
    <row r="210" spans="1:9">
      <c r="A210" s="25">
        <f t="shared" si="24"/>
        <v>4.7999999999999847</v>
      </c>
      <c r="B210" s="51">
        <f>(Prediction!$O$9*Calibration!$B$49*SQRT(I210+Prediction!$F$7-Prediction!$F$9))-((0.32989795*(I210+Prediction!$F$7-Prediction!$F$9)-1.302))</f>
        <v>14.814555300497139</v>
      </c>
      <c r="C210" s="51">
        <f>I210*Calibration!$B$50*Prediction!$O$9*Prediction!$B$18/12500*'Degradation Model'!$B$26/Prediction!$B$8</f>
        <v>5.7878585514715502</v>
      </c>
      <c r="D210" s="51">
        <f t="shared" si="26"/>
        <v>6.8655484142010739</v>
      </c>
      <c r="E210" s="51">
        <f>((Prediction!$O$10-1)*F210*Prediction!$B$10/7)</f>
        <v>2.2972868302160485</v>
      </c>
      <c r="F210" s="51">
        <f t="shared" si="27"/>
        <v>21.680103714698213</v>
      </c>
      <c r="G210" s="51">
        <f t="shared" si="28"/>
        <v>23.977390544914261</v>
      </c>
      <c r="H210" s="51">
        <f t="shared" si="29"/>
        <v>76.022609455085743</v>
      </c>
      <c r="I210" s="25">
        <f t="shared" si="25"/>
        <v>4.7999999999999847</v>
      </c>
    </row>
    <row r="211" spans="1:9">
      <c r="A211" s="25">
        <f t="shared" si="24"/>
        <v>4.6999999999999851</v>
      </c>
      <c r="B211" s="51">
        <f>(Prediction!$O$9*Calibration!$B$49*SQRT(I211+Prediction!$F$7-Prediction!$F$9))-((0.32989795*(I211+Prediction!$F$7-Prediction!$F$9)-1.302))</f>
        <v>14.694026926195717</v>
      </c>
      <c r="C211" s="51">
        <f>I211*Calibration!$B$50*Prediction!$O$9*Prediction!$B$18/12500*'Degradation Model'!$B$26/Prediction!$B$8</f>
        <v>5.6672781649825588</v>
      </c>
      <c r="D211" s="51">
        <f t="shared" si="26"/>
        <v>6.7075772264172562</v>
      </c>
      <c r="E211" s="51">
        <f>((Prediction!$O$10-1)*F211*Prediction!$B$10/7)</f>
        <v>2.2677762068067326</v>
      </c>
      <c r="F211" s="51">
        <f t="shared" si="27"/>
        <v>21.401604152612972</v>
      </c>
      <c r="G211" s="51">
        <f t="shared" si="28"/>
        <v>23.669380359419705</v>
      </c>
      <c r="H211" s="51">
        <f t="shared" si="29"/>
        <v>76.330619640580295</v>
      </c>
      <c r="I211" s="25">
        <f t="shared" si="25"/>
        <v>4.6999999999999851</v>
      </c>
    </row>
    <row r="212" spans="1:9">
      <c r="A212" s="25">
        <f t="shared" si="24"/>
        <v>4.5999999999999854</v>
      </c>
      <c r="B212" s="51">
        <f>(Prediction!$O$9*Calibration!$B$49*SQRT(I212+Prediction!$F$7-Prediction!$F$9))-((0.32989795*(I212+Prediction!$F$7-Prediction!$F$9)-1.302))</f>
        <v>14.571910493634066</v>
      </c>
      <c r="C212" s="51">
        <f>I212*Calibration!$B$50*Prediction!$O$9*Prediction!$B$18/12500*'Degradation Model'!$B$26/Prediction!$B$8</f>
        <v>5.5466977784935683</v>
      </c>
      <c r="D212" s="51">
        <f t="shared" si="26"/>
        <v>6.5502430831213863</v>
      </c>
      <c r="E212" s="51">
        <f>((Prediction!$O$10-1)*F212*Prediction!$B$10/7)</f>
        <v>2.2381648112127839</v>
      </c>
      <c r="F212" s="51">
        <f t="shared" si="27"/>
        <v>21.122153576755451</v>
      </c>
      <c r="G212" s="51">
        <f t="shared" si="28"/>
        <v>23.360318387968235</v>
      </c>
      <c r="H212" s="51">
        <f t="shared" si="29"/>
        <v>76.639681612031765</v>
      </c>
      <c r="I212" s="25">
        <f t="shared" si="25"/>
        <v>4.5999999999999854</v>
      </c>
    </row>
    <row r="213" spans="1:9">
      <c r="A213" s="25">
        <f t="shared" si="24"/>
        <v>4.4999999999999858</v>
      </c>
      <c r="B213" s="51">
        <f>(Prediction!$O$9*Calibration!$B$49*SQRT(I213+Prediction!$F$7-Prediction!$F$9))-((0.32989795*(I213+Prediction!$F$7-Prediction!$F$9)-1.302))</f>
        <v>14.448155676179828</v>
      </c>
      <c r="C213" s="51">
        <f>I213*Calibration!$B$50*Prediction!$O$9*Prediction!$B$18/12500*'Degradation Model'!$B$26/Prediction!$B$8</f>
        <v>5.4261173920045778</v>
      </c>
      <c r="D213" s="51">
        <f t="shared" si="26"/>
        <v>6.3935431286344278</v>
      </c>
      <c r="E213" s="51">
        <f>((Prediction!$O$10-1)*F213*Prediction!$B$10/7)</f>
        <v>2.2084470080818446</v>
      </c>
      <c r="F213" s="51">
        <f t="shared" si="27"/>
        <v>20.841698804814257</v>
      </c>
      <c r="G213" s="51">
        <f t="shared" si="28"/>
        <v>23.050145812896101</v>
      </c>
      <c r="H213" s="51">
        <f t="shared" si="29"/>
        <v>76.949854187103895</v>
      </c>
      <c r="I213" s="25">
        <f t="shared" si="25"/>
        <v>4.4999999999999858</v>
      </c>
    </row>
    <row r="214" spans="1:9">
      <c r="A214" s="25">
        <f t="shared" si="24"/>
        <v>4.3999999999999861</v>
      </c>
      <c r="B214" s="51">
        <f>(Prediction!$O$9*Calibration!$B$49*SQRT(I214+Prediction!$F$7-Prediction!$F$9))-((0.32989795*(I214+Prediction!$F$7-Prediction!$F$9)-1.302))</f>
        <v>14.32270943153031</v>
      </c>
      <c r="C214" s="51">
        <f>I214*Calibration!$B$50*Prediction!$O$9*Prediction!$B$18/12500*'Degradation Model'!$B$26/Prediction!$B$8</f>
        <v>5.3055370055155873</v>
      </c>
      <c r="D214" s="51">
        <f t="shared" si="26"/>
        <v>6.2374746389071385</v>
      </c>
      <c r="E214" s="51">
        <f>((Prediction!$O$10-1)*F214*Prediction!$B$10/7)</f>
        <v>2.1786168882491075</v>
      </c>
      <c r="F214" s="51">
        <f t="shared" si="27"/>
        <v>20.560184070437447</v>
      </c>
      <c r="G214" s="51">
        <f t="shared" si="28"/>
        <v>22.738800958686554</v>
      </c>
      <c r="H214" s="51">
        <f t="shared" si="29"/>
        <v>77.261199041313446</v>
      </c>
      <c r="I214" s="25">
        <f t="shared" si="25"/>
        <v>4.3999999999999861</v>
      </c>
    </row>
    <row r="215" spans="1:9">
      <c r="A215" s="25">
        <f t="shared" si="24"/>
        <v>4.2999999999999865</v>
      </c>
      <c r="B215" s="51">
        <f>(Prediction!$O$9*Calibration!$B$49*SQRT(I215+Prediction!$F$7-Prediction!$F$9))-((0.32989795*(I215+Prediction!$F$7-Prediction!$F$9)-1.302))</f>
        <v>14.195515792017879</v>
      </c>
      <c r="C215" s="51">
        <f>I215*Calibration!$B$50*Prediction!$O$9*Prediction!$B$18/12500*'Degradation Model'!$B$26/Prediction!$B$8</f>
        <v>5.1849566190265968</v>
      </c>
      <c r="D215" s="51">
        <f t="shared" si="26"/>
        <v>6.0820350238311436</v>
      </c>
      <c r="E215" s="51">
        <f>((Prediction!$O$10-1)*F215*Prediction!$B$10/7)</f>
        <v>2.1486682467623557</v>
      </c>
      <c r="F215" s="51">
        <f t="shared" si="27"/>
        <v>20.277550815849022</v>
      </c>
      <c r="G215" s="51">
        <f t="shared" si="28"/>
        <v>22.426219062611377</v>
      </c>
      <c r="H215" s="51">
        <f t="shared" si="29"/>
        <v>77.573780937388619</v>
      </c>
      <c r="I215" s="25">
        <f t="shared" si="25"/>
        <v>4.2999999999999865</v>
      </c>
    </row>
    <row r="216" spans="1:9">
      <c r="A216" s="25">
        <f t="shared" si="24"/>
        <v>4.1999999999999869</v>
      </c>
      <c r="B216" s="51">
        <f>(Prediction!$O$9*Calibration!$B$49*SQRT(I216+Prediction!$F$7-Prediction!$F$9))-((0.32989795*(I216+Prediction!$F$7-Prediction!$F$9)-1.302))</f>
        <v>14.066515633626185</v>
      </c>
      <c r="C216" s="51">
        <f>I216*Calibration!$B$50*Prediction!$O$9*Prediction!$B$18/12500*'Degradation Model'!$B$26/Prediction!$B$8</f>
        <v>5.0643762325376063</v>
      </c>
      <c r="D216" s="51">
        <f t="shared" si="26"/>
        <v>5.9272218298819643</v>
      </c>
      <c r="E216" s="51">
        <f>((Prediction!$O$10-1)*F216*Prediction!$B$10/7)</f>
        <v>2.1185945586863104</v>
      </c>
      <c r="F216" s="51">
        <f t="shared" si="27"/>
        <v>19.99373746350815</v>
      </c>
      <c r="G216" s="51">
        <f t="shared" si="28"/>
        <v>22.112332022194462</v>
      </c>
      <c r="H216" s="51">
        <f t="shared" si="29"/>
        <v>77.887667977805535</v>
      </c>
      <c r="I216" s="25">
        <f t="shared" si="25"/>
        <v>4.1999999999999869</v>
      </c>
    </row>
    <row r="217" spans="1:9">
      <c r="A217" s="25">
        <f t="shared" si="24"/>
        <v>4.0999999999999872</v>
      </c>
      <c r="B217" s="51">
        <f>(Prediction!$O$9*Calibration!$B$49*SQRT(I217+Prediction!$F$7-Prediction!$F$9))-((0.32989795*(I217+Prediction!$F$7-Prediction!$F$9)-1.302))</f>
        <v>13.935646421014434</v>
      </c>
      <c r="C217" s="51">
        <f>I217*Calibration!$B$50*Prediction!$O$9*Prediction!$B$18/12500*'Degradation Model'!$B$26/Prediction!$B$8</f>
        <v>4.9437958460486149</v>
      </c>
      <c r="D217" s="51">
        <f t="shared" si="26"/>
        <v>5.7730327431241086</v>
      </c>
      <c r="E217" s="51">
        <f>((Prediction!$O$10-1)*F217*Prediction!$B$10/7)</f>
        <v>2.088388952403089</v>
      </c>
      <c r="F217" s="51">
        <f t="shared" si="27"/>
        <v>19.708679164138545</v>
      </c>
      <c r="G217" s="51">
        <f t="shared" si="28"/>
        <v>21.797068116541634</v>
      </c>
      <c r="H217" s="51">
        <f t="shared" si="29"/>
        <v>78.202931883458362</v>
      </c>
      <c r="I217" s="25">
        <f t="shared" si="25"/>
        <v>4.0999999999999872</v>
      </c>
    </row>
    <row r="218" spans="1:9">
      <c r="A218" s="25">
        <f t="shared" si="24"/>
        <v>3.9999999999999871</v>
      </c>
      <c r="B218" s="51">
        <f>(Prediction!$O$9*Calibration!$B$49*SQRT(I218+Prediction!$F$7-Prediction!$F$9))-((0.32989795*(I218+Prediction!$F$7-Prediction!$F$9)-1.302))</f>
        <v>13.802841925431693</v>
      </c>
      <c r="C218" s="51">
        <f>I218*Calibration!$B$50*Prediction!$O$9*Prediction!$B$18/12500*'Degradation Model'!$B$26/Prediction!$B$8</f>
        <v>4.8232154595596244</v>
      </c>
      <c r="D218" s="51">
        <f t="shared" si="26"/>
        <v>5.6194655926124382</v>
      </c>
      <c r="E218" s="51">
        <f>((Prediction!$O$10-1)*F218*Prediction!$B$10/7)</f>
        <v>2.058044180082006</v>
      </c>
      <c r="F218" s="51">
        <f t="shared" si="27"/>
        <v>19.422307518044132</v>
      </c>
      <c r="G218" s="51">
        <f t="shared" si="28"/>
        <v>21.480351698126139</v>
      </c>
      <c r="H218" s="51">
        <f t="shared" si="29"/>
        <v>78.519648301873858</v>
      </c>
      <c r="I218" s="25">
        <f t="shared" si="25"/>
        <v>3.9999999999999871</v>
      </c>
    </row>
    <row r="219" spans="1:9">
      <c r="A219" s="25">
        <f t="shared" ref="A219:A250" si="30">A218-0.1</f>
        <v>3.899999999999987</v>
      </c>
      <c r="B219" s="51">
        <f>(Prediction!$O$9*Calibration!$B$49*SQRT(I219+Prediction!$F$7-Prediction!$F$9))-((0.32989795*(I219+Prediction!$F$7-Prediction!$F$9)-1.302))</f>
        <v>13.668031911912747</v>
      </c>
      <c r="C219" s="51">
        <f>I219*Calibration!$B$50*Prediction!$O$9*Prediction!$B$18/12500*'Degradation Model'!$B$26/Prediction!$B$8</f>
        <v>4.702635073070633</v>
      </c>
      <c r="D219" s="51">
        <f t="shared" si="26"/>
        <v>5.4665183542288389</v>
      </c>
      <c r="E219" s="51">
        <f>((Prediction!$O$10-1)*F219*Prediction!$B$10/7)</f>
        <v>2.0275525849404796</v>
      </c>
      <c r="F219" s="51">
        <f t="shared" si="27"/>
        <v>19.134550266141588</v>
      </c>
      <c r="G219" s="51">
        <f t="shared" si="28"/>
        <v>21.162102851082068</v>
      </c>
      <c r="H219" s="51">
        <f t="shared" si="29"/>
        <v>78.837897148917932</v>
      </c>
      <c r="I219" s="25">
        <f t="shared" ref="I219:I250" si="31">I218-0.1</f>
        <v>3.899999999999987</v>
      </c>
    </row>
    <row r="220" spans="1:9">
      <c r="A220" s="25">
        <f t="shared" si="30"/>
        <v>3.7999999999999869</v>
      </c>
      <c r="B220" s="51">
        <f>(Prediction!$O$9*Calibration!$B$49*SQRT(I220+Prediction!$F$7-Prediction!$F$9))-((0.32989795*(I220+Prediction!$F$7-Prediction!$F$9)-1.302))</f>
        <v>13.531141791565322</v>
      </c>
      <c r="C220" s="51">
        <f>I220*Calibration!$B$50*Prediction!$O$9*Prediction!$B$18/12500*'Degradation Model'!$B$26/Prediction!$B$8</f>
        <v>4.5820546865816425</v>
      </c>
      <c r="D220" s="51">
        <f t="shared" si="26"/>
        <v>5.3141891549987275</v>
      </c>
      <c r="E220" s="51">
        <f>((Prediction!$O$10-1)*F220*Prediction!$B$10/7)</f>
        <v>1.9969060648567643</v>
      </c>
      <c r="F220" s="51">
        <f t="shared" si="27"/>
        <v>18.845330946564047</v>
      </c>
      <c r="G220" s="51">
        <f t="shared" si="28"/>
        <v>20.84223701142081</v>
      </c>
      <c r="H220" s="51">
        <f t="shared" si="29"/>
        <v>79.157762988579194</v>
      </c>
      <c r="I220" s="25">
        <f t="shared" si="31"/>
        <v>3.7999999999999869</v>
      </c>
    </row>
    <row r="221" spans="1:9">
      <c r="A221" s="25">
        <f t="shared" si="30"/>
        <v>3.6999999999999869</v>
      </c>
      <c r="B221" s="51">
        <f>(Prediction!$O$9*Calibration!$B$49*SQRT(I221+Prediction!$F$7-Prediction!$F$9))-((0.32989795*(I221+Prediction!$F$7-Prediction!$F$9)-1.302))</f>
        <v>13.392092234065563</v>
      </c>
      <c r="C221" s="51">
        <f>I221*Calibration!$B$50*Prediction!$O$9*Prediction!$B$18/12500*'Degradation Model'!$B$26/Prediction!$B$8</f>
        <v>4.4614743000926511</v>
      </c>
      <c r="D221" s="51">
        <f t="shared" si="26"/>
        <v>5.1624762779384215</v>
      </c>
      <c r="E221" s="51">
        <f>((Prediction!$O$10-1)*F221*Prediction!$B$10/7)</f>
        <v>1.966096031822488</v>
      </c>
      <c r="F221" s="51">
        <f t="shared" si="27"/>
        <v>18.554568512003986</v>
      </c>
      <c r="G221" s="51">
        <f t="shared" si="28"/>
        <v>20.520664543826474</v>
      </c>
      <c r="H221" s="51">
        <f t="shared" si="29"/>
        <v>79.47933545617353</v>
      </c>
      <c r="I221" s="25">
        <f t="shared" si="31"/>
        <v>3.6999999999999869</v>
      </c>
    </row>
    <row r="222" spans="1:9">
      <c r="A222" s="25">
        <f t="shared" si="30"/>
        <v>3.5999999999999868</v>
      </c>
      <c r="B222" s="51">
        <f>(Prediction!$O$9*Calibration!$B$49*SQRT(I222+Prediction!$F$7-Prediction!$F$9))-((0.32989795*(I222+Prediction!$F$7-Prediction!$F$9)-1.302))</f>
        <v>13.250798734650543</v>
      </c>
      <c r="C222" s="51">
        <f>I222*Calibration!$B$50*Prediction!$O$9*Prediction!$B$18/12500*'Degradation Model'!$B$26/Prediction!$B$8</f>
        <v>4.3408939136036597</v>
      </c>
      <c r="D222" s="51">
        <f t="shared" si="26"/>
        <v>5.011378167491932</v>
      </c>
      <c r="E222" s="51">
        <f>((Prediction!$O$10-1)*F222*Prediction!$B$10/7)</f>
        <v>1.9351133666360145</v>
      </c>
      <c r="F222" s="51">
        <f t="shared" si="27"/>
        <v>18.262176902142475</v>
      </c>
      <c r="G222" s="51">
        <f t="shared" si="28"/>
        <v>20.197290268778488</v>
      </c>
      <c r="H222" s="51">
        <f t="shared" si="29"/>
        <v>79.802709731221512</v>
      </c>
      <c r="I222" s="25">
        <f t="shared" si="31"/>
        <v>3.5999999999999868</v>
      </c>
    </row>
    <row r="223" spans="1:9">
      <c r="A223" s="25">
        <f t="shared" si="30"/>
        <v>3.4999999999999867</v>
      </c>
      <c r="B223" s="51">
        <f>(Prediction!$O$9*Calibration!$B$49*SQRT(I223+Prediction!$F$7-Prediction!$F$9))-((0.32989795*(I223+Prediction!$F$7-Prediction!$F$9)-1.302))</f>
        <v>13.107171128901545</v>
      </c>
      <c r="C223" s="51">
        <f>I223*Calibration!$B$50*Prediction!$O$9*Prediction!$B$18/12500*'Degradation Model'!$B$26/Prediction!$B$8</f>
        <v>4.2203135271146692</v>
      </c>
      <c r="D223" s="51">
        <f t="shared" si="26"/>
        <v>4.8608934356246065</v>
      </c>
      <c r="E223" s="51">
        <f>((Prediction!$O$10-1)*F223*Prediction!$B$10/7)</f>
        <v>1.9039483681331721</v>
      </c>
      <c r="F223" s="51">
        <f t="shared" si="27"/>
        <v>17.968064564526152</v>
      </c>
      <c r="G223" s="51">
        <f t="shared" si="28"/>
        <v>19.872012932659324</v>
      </c>
      <c r="H223" s="51">
        <f t="shared" si="29"/>
        <v>80.127987067340683</v>
      </c>
      <c r="I223" s="25">
        <f t="shared" si="31"/>
        <v>3.4999999999999867</v>
      </c>
    </row>
    <row r="224" spans="1:9">
      <c r="A224" s="25">
        <f t="shared" si="30"/>
        <v>3.3999999999999866</v>
      </c>
      <c r="B224" s="51">
        <f>(Prediction!$O$9*Calibration!$B$49*SQRT(I224+Prediction!$F$7-Prediction!$F$9))-((0.32989795*(I224+Prediction!$F$7-Prediction!$F$9)-1.302))</f>
        <v>12.961113047411622</v>
      </c>
      <c r="C224" s="51">
        <f>I224*Calibration!$B$50*Prediction!$O$9*Prediction!$B$18/12500*'Degradation Model'!$B$26/Prediction!$B$8</f>
        <v>4.0997331406256778</v>
      </c>
      <c r="D224" s="51">
        <f t="shared" si="26"/>
        <v>4.7110208686515271</v>
      </c>
      <c r="E224" s="51">
        <f>((Prediction!$O$10-1)*F224*Prediction!$B$10/7)</f>
        <v>1.8725906961257983</v>
      </c>
      <c r="F224" s="51">
        <f t="shared" si="27"/>
        <v>17.672133916063149</v>
      </c>
      <c r="G224" s="51">
        <f t="shared" si="28"/>
        <v>19.544724612188947</v>
      </c>
      <c r="H224" s="51">
        <f t="shared" si="29"/>
        <v>80.455275387811056</v>
      </c>
      <c r="I224" s="25">
        <f t="shared" si="31"/>
        <v>3.3999999999999866</v>
      </c>
    </row>
    <row r="225" spans="1:9">
      <c r="A225" s="25">
        <f t="shared" si="30"/>
        <v>3.2999999999999865</v>
      </c>
      <c r="B225" s="51">
        <f>(Prediction!$O$9*Calibration!$B$49*SQRT(I225+Prediction!$F$7-Prediction!$F$9))-((0.32989795*(I225+Prediction!$F$7-Prediction!$F$9)-1.302))</f>
        <v>12.812521300975618</v>
      </c>
      <c r="C225" s="51">
        <f>I225*Calibration!$B$50*Prediction!$O$9*Prediction!$B$18/12500*'Degradation Model'!$B$26/Prediction!$B$8</f>
        <v>3.9791527541366869</v>
      </c>
      <c r="D225" s="51">
        <f t="shared" si="26"/>
        <v>4.5617594348909298</v>
      </c>
      <c r="E225" s="51">
        <f>((Prediction!$O$10-1)*F225*Prediction!$B$10/7)</f>
        <v>1.8410293070656658</v>
      </c>
      <c r="F225" s="51">
        <f t="shared" si="27"/>
        <v>17.374280735866549</v>
      </c>
      <c r="G225" s="51">
        <f t="shared" si="28"/>
        <v>19.215310042932213</v>
      </c>
      <c r="H225" s="51">
        <f t="shared" si="29"/>
        <v>80.784689957067783</v>
      </c>
      <c r="I225" s="25">
        <f t="shared" si="31"/>
        <v>3.2999999999999865</v>
      </c>
    </row>
    <row r="226" spans="1:9">
      <c r="A226" s="25">
        <f t="shared" si="30"/>
        <v>3.1999999999999864</v>
      </c>
      <c r="B226" s="51">
        <f>(Prediction!$O$9*Calibration!$B$49*SQRT(I226+Prediction!$F$7-Prediction!$F$9))-((0.32989795*(I226+Prediction!$F$7-Prediction!$F$9)-1.302))</f>
        <v>12.661285185167527</v>
      </c>
      <c r="C226" s="51">
        <f>I226*Calibration!$B$50*Prediction!$O$9*Prediction!$B$18/12500*'Degradation Model'!$B$26/Prediction!$B$8</f>
        <v>3.858572367647696</v>
      </c>
      <c r="D226" s="51">
        <f t="shared" si="26"/>
        <v>4.4131082932476726</v>
      </c>
      <c r="E226" s="51">
        <f>((Prediction!$O$10-1)*F226*Prediction!$B$10/7)</f>
        <v>1.809252381265005</v>
      </c>
      <c r="F226" s="51">
        <f t="shared" si="27"/>
        <v>17.0743934784152</v>
      </c>
      <c r="G226" s="51">
        <f t="shared" si="28"/>
        <v>18.883645859680204</v>
      </c>
      <c r="H226" s="51">
        <f t="shared" si="29"/>
        <v>81.1163541403198</v>
      </c>
      <c r="I226" s="25">
        <f t="shared" si="31"/>
        <v>3.1999999999999864</v>
      </c>
    </row>
    <row r="227" spans="1:9">
      <c r="A227" s="25">
        <f t="shared" si="30"/>
        <v>3.0999999999999863</v>
      </c>
      <c r="B227" s="51">
        <f>(Prediction!$O$9*Calibration!$B$49*SQRT(I227+Prediction!$F$7-Prediction!$F$9))-((0.32989795*(I227+Prediction!$F$7-Prediction!$F$9)-1.302))</f>
        <v>12.507285690997318</v>
      </c>
      <c r="C227" s="51">
        <f>I227*Calibration!$B$50*Prediction!$O$9*Prediction!$B$18/12500*'Degradation Model'!$B$26/Prediction!$B$8</f>
        <v>3.7379919811587041</v>
      </c>
      <c r="D227" s="51">
        <f t="shared" si="26"/>
        <v>4.2650668028493879</v>
      </c>
      <c r="E227" s="51">
        <f>((Prediction!$O$10-1)*F227*Prediction!$B$10/7)</f>
        <v>1.777247240276483</v>
      </c>
      <c r="F227" s="51">
        <f t="shared" si="27"/>
        <v>16.772352493846704</v>
      </c>
      <c r="G227" s="51">
        <f t="shared" si="28"/>
        <v>18.549599734123188</v>
      </c>
      <c r="H227" s="51">
        <f t="shared" si="29"/>
        <v>81.450400265876809</v>
      </c>
      <c r="I227" s="25">
        <f t="shared" si="31"/>
        <v>3.0999999999999863</v>
      </c>
    </row>
    <row r="228" spans="1:9">
      <c r="A228" s="25">
        <f t="shared" si="30"/>
        <v>2.9999999999999862</v>
      </c>
      <c r="B228" s="51">
        <f>(Prediction!$O$9*Calibration!$B$49*SQRT(I228+Prediction!$F$7-Prediction!$F$9))-((0.32989795*(I228+Prediction!$F$7-Prediction!$F$9)-1.302))</f>
        <v>12.350394605662444</v>
      </c>
      <c r="C228" s="51">
        <f>I228*Calibration!$B$50*Prediction!$O$9*Prediction!$B$18/12500*'Degradation Model'!$B$26/Prediction!$B$8</f>
        <v>3.6174115946697132</v>
      </c>
      <c r="D228" s="51">
        <f t="shared" si="26"/>
        <v>4.1176345338791345</v>
      </c>
      <c r="E228" s="51">
        <f>((Prediction!$O$10-1)*F228*Prediction!$B$10/7)</f>
        <v>1.7450002527540771</v>
      </c>
      <c r="F228" s="51">
        <f t="shared" si="27"/>
        <v>16.468029139541578</v>
      </c>
      <c r="G228" s="51">
        <f t="shared" si="28"/>
        <v>18.213029392295656</v>
      </c>
      <c r="H228" s="51">
        <f t="shared" si="29"/>
        <v>81.786970607704347</v>
      </c>
      <c r="I228" s="25">
        <f t="shared" si="31"/>
        <v>2.9999999999999862</v>
      </c>
    </row>
    <row r="229" spans="1:9">
      <c r="A229" s="25">
        <f t="shared" si="30"/>
        <v>2.8999999999999861</v>
      </c>
      <c r="B229" s="51">
        <f>(Prediction!$O$9*Calibration!$B$49*SQRT(I229+Prediction!$F$7-Prediction!$F$9))-((0.32989795*(I229+Prediction!$F$7-Prediction!$F$9)-1.302))</f>
        <v>12.190473484090914</v>
      </c>
      <c r="C229" s="51">
        <f>I229*Calibration!$B$50*Prediction!$O$9*Prediction!$B$18/12500*'Degradation Model'!$B$26/Prediction!$B$8</f>
        <v>3.4968312081807218</v>
      </c>
      <c r="D229" s="51">
        <f t="shared" si="26"/>
        <v>3.9708112797739687</v>
      </c>
      <c r="E229" s="51">
        <f>((Prediction!$O$10-1)*F229*Prediction!$B$10/7)</f>
        <v>1.7124967267673834</v>
      </c>
      <c r="F229" s="51">
        <f t="shared" si="27"/>
        <v>16.161284763864884</v>
      </c>
      <c r="G229" s="51">
        <f t="shared" si="28"/>
        <v>17.873781490632268</v>
      </c>
      <c r="H229" s="51">
        <f t="shared" si="29"/>
        <v>82.126218509367732</v>
      </c>
      <c r="I229" s="25">
        <f t="shared" si="31"/>
        <v>2.8999999999999861</v>
      </c>
    </row>
    <row r="230" spans="1:9">
      <c r="A230" s="25">
        <f t="shared" si="30"/>
        <v>2.7999999999999861</v>
      </c>
      <c r="B230" s="51">
        <f>(Prediction!$O$9*Calibration!$B$49*SQRT(I230+Prediction!$F$7-Prediction!$F$9))-((0.32989795*(I230+Prediction!$F$7-Prediction!$F$9)-1.302))</f>
        <v>12.027372467833354</v>
      </c>
      <c r="C230" s="51">
        <f>I230*Calibration!$B$50*Prediction!$O$9*Prediction!$B$18/12500*'Degradation Model'!$B$26/Prediction!$B$8</f>
        <v>3.3762508216917309</v>
      </c>
      <c r="D230" s="51">
        <f t="shared" si="26"/>
        <v>3.8245970709899324</v>
      </c>
      <c r="E230" s="51">
        <f>((Prediction!$O$10-1)*F230*Prediction!$B$10/7)</f>
        <v>1.6797207861065631</v>
      </c>
      <c r="F230" s="51">
        <f t="shared" si="27"/>
        <v>15.851969538823287</v>
      </c>
      <c r="G230" s="51">
        <f t="shared" si="28"/>
        <v>17.531690324929851</v>
      </c>
      <c r="H230" s="51">
        <f t="shared" si="29"/>
        <v>82.468309675070145</v>
      </c>
      <c r="I230" s="25">
        <f t="shared" si="31"/>
        <v>2.7999999999999861</v>
      </c>
    </row>
    <row r="231" spans="1:9">
      <c r="A231" s="25">
        <f t="shared" si="30"/>
        <v>2.699999999999986</v>
      </c>
      <c r="B231" s="51">
        <f>(Prediction!$O$9*Calibration!$B$49*SQRT(I231+Prediction!$F$7-Prediction!$F$9))-((0.32989795*(I231+Prediction!$F$7-Prediction!$F$9)-1.302))</f>
        <v>11.860928922662861</v>
      </c>
      <c r="C231" s="51">
        <f>I231*Calibration!$B$50*Prediction!$O$9*Prediction!$B$18/12500*'Degradation Model'!$B$26/Prediction!$B$8</f>
        <v>3.2556704352027399</v>
      </c>
      <c r="D231" s="51">
        <f t="shared" si="26"/>
        <v>3.678992190571996</v>
      </c>
      <c r="E231" s="51">
        <f>((Prediction!$O$10-1)*F231*Prediction!$B$10/7)</f>
        <v>1.6466552275683008</v>
      </c>
      <c r="F231" s="51">
        <f t="shared" si="27"/>
        <v>15.539921113234858</v>
      </c>
      <c r="G231" s="51">
        <f t="shared" si="28"/>
        <v>17.186576340803157</v>
      </c>
      <c r="H231" s="51">
        <f t="shared" si="29"/>
        <v>82.813423659196843</v>
      </c>
      <c r="I231" s="25">
        <f t="shared" si="31"/>
        <v>2.699999999999986</v>
      </c>
    </row>
    <row r="232" spans="1:9">
      <c r="A232" s="25">
        <f t="shared" si="30"/>
        <v>2.5999999999999859</v>
      </c>
      <c r="B232" s="51">
        <f>(Prediction!$O$9*Calibration!$B$49*SQRT(I232+Prediction!$F$7-Prediction!$F$9))-((0.32989795*(I232+Prediction!$F$7-Prediction!$F$9)-1.302))</f>
        <v>11.690965859665077</v>
      </c>
      <c r="C232" s="51">
        <f>I232*Calibration!$B$50*Prediction!$O$9*Prediction!$B$18/12500*'Degradation Model'!$B$26/Prediction!$B$8</f>
        <v>3.135090048713749</v>
      </c>
      <c r="D232" s="51">
        <f t="shared" si="26"/>
        <v>3.5339971918142701</v>
      </c>
      <c r="E232" s="51">
        <f>((Prediction!$O$10-1)*F232*Prediction!$B$10/7)</f>
        <v>1.613281355521242</v>
      </c>
      <c r="F232" s="51">
        <f t="shared" si="27"/>
        <v>15.224963051479348</v>
      </c>
      <c r="G232" s="51">
        <f t="shared" si="28"/>
        <v>16.838244407000591</v>
      </c>
      <c r="H232" s="51">
        <f t="shared" si="29"/>
        <v>83.161755592999413</v>
      </c>
      <c r="I232" s="25">
        <f t="shared" si="31"/>
        <v>2.5999999999999859</v>
      </c>
    </row>
    <row r="233" spans="1:9">
      <c r="A233" s="25">
        <f t="shared" si="30"/>
        <v>2.4999999999999858</v>
      </c>
      <c r="B233" s="51">
        <f>(Prediction!$O$9*Calibration!$B$49*SQRT(I233+Prediction!$F$7-Prediction!$F$9))-((0.32989795*(I233+Prediction!$F$7-Prediction!$F$9)-1.302))</f>
        <v>11.517290096218307</v>
      </c>
      <c r="C233" s="51">
        <f>I233*Calibration!$B$50*Prediction!$O$9*Prediction!$B$18/12500*'Degradation Model'!$B$26/Prediction!$B$8</f>
        <v>3.0145096622247576</v>
      </c>
      <c r="D233" s="51">
        <f t="shared" si="26"/>
        <v>3.3896129183537709</v>
      </c>
      <c r="E233" s="51">
        <f>((Prediction!$O$10-1)*F233*Prediction!$B$10/7)</f>
        <v>1.5795787891672934</v>
      </c>
      <c r="F233" s="51">
        <f t="shared" si="27"/>
        <v>14.906903014572078</v>
      </c>
      <c r="G233" s="51">
        <f t="shared" si="28"/>
        <v>16.486481803739373</v>
      </c>
      <c r="H233" s="51">
        <f t="shared" si="29"/>
        <v>83.513518196260634</v>
      </c>
      <c r="I233" s="25">
        <f t="shared" si="31"/>
        <v>2.4999999999999858</v>
      </c>
    </row>
    <row r="234" spans="1:9">
      <c r="A234" s="25">
        <f t="shared" si="30"/>
        <v>2.3999999999999857</v>
      </c>
      <c r="B234" s="51">
        <f>(Prediction!$O$9*Calibration!$B$49*SQRT(I234+Prediction!$F$7-Prediction!$F$9))-((0.32989795*(I234+Prediction!$F$7-Prediction!$F$9)-1.302))</f>
        <v>11.33969010249093</v>
      </c>
      <c r="C234" s="51">
        <f>I234*Calibration!$B$50*Prediction!$O$9*Prediction!$B$18/12500*'Degradation Model'!$B$26/Prediction!$B$8</f>
        <v>2.8939292757357671</v>
      </c>
      <c r="D234" s="51">
        <f t="shared" si="26"/>
        <v>3.245840527113371</v>
      </c>
      <c r="E234" s="51">
        <f>((Prediction!$O$10-1)*F234*Prediction!$B$10/7)</f>
        <v>1.5455252367813301</v>
      </c>
      <c r="F234" s="51">
        <f t="shared" si="27"/>
        <v>14.585530629604301</v>
      </c>
      <c r="G234" s="51">
        <f t="shared" si="28"/>
        <v>16.13105586638563</v>
      </c>
      <c r="H234" s="51">
        <f t="shared" si="29"/>
        <v>83.868944133614377</v>
      </c>
      <c r="I234" s="25">
        <f t="shared" si="31"/>
        <v>2.3999999999999857</v>
      </c>
    </row>
    <row r="235" spans="1:9">
      <c r="A235" s="25">
        <f t="shared" si="30"/>
        <v>2.2999999999999856</v>
      </c>
      <c r="B235" s="51">
        <f>(Prediction!$O$9*Calibration!$B$49*SQRT(I235+Prediction!$F$7-Prediction!$F$9))-((0.32989795*(I235+Prediction!$F$7-Prediction!$F$9)-1.302))</f>
        <v>11.157933465117177</v>
      </c>
      <c r="C235" s="51">
        <f>I235*Calibration!$B$50*Prediction!$O$9*Prediction!$B$18/12500*'Degradation Model'!$B$26/Prediction!$B$8</f>
        <v>2.7733488892467753</v>
      </c>
      <c r="D235" s="51">
        <f t="shared" si="26"/>
        <v>3.1026815146005648</v>
      </c>
      <c r="E235" s="51">
        <f>((Prediction!$O$10-1)*F235*Prediction!$B$10/7)</f>
        <v>1.5110962297415973</v>
      </c>
      <c r="F235" s="51">
        <f t="shared" si="27"/>
        <v>14.260614979717742</v>
      </c>
      <c r="G235" s="51">
        <f t="shared" si="28"/>
        <v>15.771711209459339</v>
      </c>
      <c r="H235" s="51">
        <f t="shared" si="29"/>
        <v>84.22828879054066</v>
      </c>
      <c r="I235" s="25">
        <f t="shared" si="31"/>
        <v>2.2999999999999856</v>
      </c>
    </row>
    <row r="236" spans="1:9">
      <c r="A236" s="25">
        <f t="shared" si="30"/>
        <v>2.1999999999999855</v>
      </c>
      <c r="B236" s="51">
        <f>(Prediction!$O$9*Calibration!$B$49*SQRT(I236+Prediction!$F$7-Prediction!$F$9))-((0.32989795*(I236+Prediction!$F$7-Prediction!$F$9)-1.302))</f>
        <v>10.971763881436219</v>
      </c>
      <c r="C236" s="51">
        <f>I236*Calibration!$B$50*Prediction!$O$9*Prediction!$B$18/12500*'Degradation Model'!$B$26/Prediction!$B$8</f>
        <v>2.6527685027577843</v>
      </c>
      <c r="D236" s="51">
        <f t="shared" si="26"/>
        <v>2.960137747184123</v>
      </c>
      <c r="E236" s="51">
        <f>((Prediction!$O$10-1)*F236*Prediction!$B$10/7)</f>
        <v>1.4762648072387481</v>
      </c>
      <c r="F236" s="51">
        <f t="shared" si="27"/>
        <v>13.931901628620341</v>
      </c>
      <c r="G236" s="51">
        <f t="shared" si="28"/>
        <v>15.408166435859089</v>
      </c>
      <c r="H236" s="51">
        <f t="shared" si="29"/>
        <v>84.591833564140913</v>
      </c>
      <c r="I236" s="25">
        <f t="shared" si="31"/>
        <v>2.1999999999999855</v>
      </c>
    </row>
    <row r="237" spans="1:9">
      <c r="A237" s="25">
        <f t="shared" si="30"/>
        <v>2.0999999999999854</v>
      </c>
      <c r="B237" s="51">
        <f>(Prediction!$O$9*Calibration!$B$49*SQRT(I237+Prediction!$F$7-Prediction!$F$9))-((0.32989795*(I237+Prediction!$F$7-Prediction!$F$9)-1.302))</f>
        <v>10.78089757352015</v>
      </c>
      <c r="C237" s="51">
        <f>I237*Calibration!$B$50*Prediction!$O$9*Prediction!$B$18/12500*'Degradation Model'!$B$26/Prediction!$B$8</f>
        <v>2.5321881162687934</v>
      </c>
      <c r="D237" s="51">
        <f t="shared" si="26"/>
        <v>2.8182114961184555</v>
      </c>
      <c r="E237" s="51">
        <f>((Prediction!$O$10-1)*F237*Prediction!$B$10/7)</f>
        <v>1.4410011400071046</v>
      </c>
      <c r="F237" s="51">
        <f t="shared" si="27"/>
        <v>13.599109069638605</v>
      </c>
      <c r="G237" s="51">
        <f t="shared" si="28"/>
        <v>15.040110209645709</v>
      </c>
      <c r="H237" s="51">
        <f t="shared" si="29"/>
        <v>84.959889790354296</v>
      </c>
      <c r="I237" s="25">
        <f t="shared" si="31"/>
        <v>2.0999999999999854</v>
      </c>
    </row>
    <row r="238" spans="1:9">
      <c r="A238" s="25">
        <f t="shared" si="30"/>
        <v>1.9999999999999853</v>
      </c>
      <c r="B238" s="51">
        <f>(Prediction!$O$9*Calibration!$B$49*SQRT(I238+Prediction!$F$7-Prediction!$F$9))-((0.32989795*(I238+Prediction!$F$7-Prediction!$F$9)-1.302))</f>
        <v>10.585018978931034</v>
      </c>
      <c r="C238" s="51">
        <f>I238*Calibration!$B$50*Prediction!$O$9*Prediction!$B$18/12500*'Degradation Model'!$B$26/Prediction!$B$8</f>
        <v>2.4116077297798024</v>
      </c>
      <c r="D238" s="51">
        <f t="shared" si="26"/>
        <v>2.6769054782764981</v>
      </c>
      <c r="E238" s="51">
        <f>((Prediction!$O$10-1)*F238*Prediction!$B$10/7)</f>
        <v>1.4052720780209178</v>
      </c>
      <c r="F238" s="51">
        <f t="shared" si="27"/>
        <v>13.261924457207531</v>
      </c>
      <c r="G238" s="51">
        <f t="shared" si="28"/>
        <v>14.667196535228449</v>
      </c>
      <c r="H238" s="51">
        <f t="shared" si="29"/>
        <v>85.332803464771558</v>
      </c>
      <c r="I238" s="25">
        <f t="shared" si="31"/>
        <v>1.9999999999999853</v>
      </c>
    </row>
    <row r="239" spans="1:9">
      <c r="A239" s="25">
        <f t="shared" si="30"/>
        <v>1.8999999999999853</v>
      </c>
      <c r="B239" s="51">
        <f>(Prediction!$O$9*Calibration!$B$49*SQRT(I239+Prediction!$F$7-Prediction!$F$9))-((0.32989795*(I239+Prediction!$F$7-Prediction!$F$9)-1.302))</f>
        <v>10.383775531491825</v>
      </c>
      <c r="C239" s="51">
        <f>I239*Calibration!$B$50*Prediction!$O$9*Prediction!$B$18/12500*'Degradation Model'!$B$26/Prediction!$B$8</f>
        <v>2.2910273432908115</v>
      </c>
      <c r="D239" s="51">
        <f t="shared" si="26"/>
        <v>2.5362229038014088</v>
      </c>
      <c r="E239" s="51">
        <f>((Prediction!$O$10-1)*F239*Prediction!$B$10/7)</f>
        <v>1.369040602498993</v>
      </c>
      <c r="F239" s="51">
        <f t="shared" si="27"/>
        <v>12.919998435293234</v>
      </c>
      <c r="G239" s="51">
        <f t="shared" si="28"/>
        <v>14.289039037792227</v>
      </c>
      <c r="H239" s="51">
        <f t="shared" si="29"/>
        <v>85.710960962207778</v>
      </c>
      <c r="I239" s="25">
        <f t="shared" si="31"/>
        <v>1.8999999999999853</v>
      </c>
    </row>
    <row r="240" spans="1:9">
      <c r="A240" s="25">
        <f t="shared" si="30"/>
        <v>1.7999999999999852</v>
      </c>
      <c r="B240" s="51">
        <f>(Prediction!$O$9*Calibration!$B$49*SQRT(I240+Prediction!$F$7-Prediction!$F$9))-((0.32989795*(I240+Prediction!$F$7-Prediction!$F$9)-1.302))</f>
        <v>10.176771285567231</v>
      </c>
      <c r="C240" s="51">
        <f>I240*Calibration!$B$50*Prediction!$O$9*Prediction!$B$18/12500*'Degradation Model'!$B$26/Prediction!$B$8</f>
        <v>2.1704469568018201</v>
      </c>
      <c r="D240" s="51">
        <f t="shared" si="26"/>
        <v>2.3961675322170208</v>
      </c>
      <c r="E240" s="51">
        <f>((Prediction!$O$10-1)*F240*Prediction!$B$10/7)</f>
        <v>1.3322651562605754</v>
      </c>
      <c r="F240" s="51">
        <f t="shared" si="27"/>
        <v>12.572938817784252</v>
      </c>
      <c r="G240" s="51">
        <f t="shared" si="28"/>
        <v>13.905203974044827</v>
      </c>
      <c r="H240" s="51">
        <f t="shared" si="29"/>
        <v>86.094796025955176</v>
      </c>
      <c r="I240" s="25">
        <f t="shared" si="31"/>
        <v>1.7999999999999852</v>
      </c>
    </row>
    <row r="241" spans="1:9">
      <c r="A241" s="25">
        <f t="shared" si="30"/>
        <v>1.6999999999999851</v>
      </c>
      <c r="B241" s="51">
        <f>(Prediction!$O$9*Calibration!$B$49*SQRT(I241+Prediction!$F$7-Prediction!$F$9))-((0.32989795*(I241+Prediction!$F$7-Prediction!$F$9)-1.302))</f>
        <v>9.9635590543190649</v>
      </c>
      <c r="C241" s="51">
        <f>I241*Calibration!$B$50*Prediction!$O$9*Prediction!$B$18/12500*'Degradation Model'!$B$26/Prediction!$B$8</f>
        <v>2.0498665703128292</v>
      </c>
      <c r="D241" s="51">
        <f t="shared" si="26"/>
        <v>2.2567437389780713</v>
      </c>
      <c r="E241" s="51">
        <f>((Prediction!$O$10-1)*F241*Prediction!$B$10/7)</f>
        <v>1.2948988177238838</v>
      </c>
      <c r="F241" s="51">
        <f t="shared" si="27"/>
        <v>12.220302793297137</v>
      </c>
      <c r="G241" s="51">
        <f t="shared" si="28"/>
        <v>13.51520161102102</v>
      </c>
      <c r="H241" s="51">
        <f t="shared" si="29"/>
        <v>86.484798388978987</v>
      </c>
      <c r="I241" s="25">
        <f t="shared" si="31"/>
        <v>1.6999999999999851</v>
      </c>
    </row>
    <row r="242" spans="1:9">
      <c r="A242" s="25">
        <f t="shared" si="30"/>
        <v>1.599999999999985</v>
      </c>
      <c r="B242" s="51">
        <f>(Prediction!$O$9*Calibration!$B$49*SQRT(I242+Prediction!$F$7-Prediction!$F$9))-((0.32989795*(I242+Prediction!$F$7-Prediction!$F$9)-1.302))</f>
        <v>9.7436306153218233</v>
      </c>
      <c r="C242" s="51">
        <f>I242*Calibration!$B$50*Prediction!$O$9*Prediction!$B$18/12500*'Degradation Model'!$B$26/Prediction!$B$8</f>
        <v>1.929286183823838</v>
      </c>
      <c r="D242" s="51">
        <f t="shared" si="26"/>
        <v>2.117956595039554</v>
      </c>
      <c r="E242" s="51">
        <f>((Prediction!$O$10-1)*F242*Prediction!$B$10/7)</f>
        <v>1.2568882714960583</v>
      </c>
      <c r="F242" s="51">
        <f t="shared" si="27"/>
        <v>11.861587210361378</v>
      </c>
      <c r="G242" s="51">
        <f t="shared" si="28"/>
        <v>13.118475481857436</v>
      </c>
      <c r="H242" s="51">
        <f t="shared" si="29"/>
        <v>86.881524518142569</v>
      </c>
      <c r="I242" s="25">
        <f t="shared" si="31"/>
        <v>1.599999999999985</v>
      </c>
    </row>
    <row r="243" spans="1:9">
      <c r="A243" s="25">
        <f t="shared" si="30"/>
        <v>1.4999999999999849</v>
      </c>
      <c r="B243" s="51">
        <f>(Prediction!$O$9*Calibration!$B$49*SQRT(I243+Prediction!$F$7-Prediction!$F$9))-((0.32989795*(I243+Prediction!$F$7-Prediction!$F$9)-1.302))</f>
        <v>9.5164043690536246</v>
      </c>
      <c r="C243" s="51">
        <f>I243*Calibration!$B$50*Prediction!$O$9*Prediction!$B$18/12500*'Degradation Model'!$B$26/Prediction!$B$8</f>
        <v>1.8087057973348468</v>
      </c>
      <c r="D243" s="51">
        <f t="shared" si="26"/>
        <v>1.9798119628484847</v>
      </c>
      <c r="E243" s="51">
        <f>((Prediction!$O$10-1)*F243*Prediction!$B$10/7)</f>
        <v>1.2181725108025385</v>
      </c>
      <c r="F243" s="51">
        <f t="shared" si="27"/>
        <v>11.49621633190211</v>
      </c>
      <c r="G243" s="51">
        <f t="shared" si="28"/>
        <v>12.714388842704649</v>
      </c>
      <c r="H243" s="51">
        <f t="shared" si="29"/>
        <v>87.285611157295349</v>
      </c>
      <c r="I243" s="25">
        <f t="shared" si="31"/>
        <v>1.4999999999999849</v>
      </c>
    </row>
    <row r="244" spans="1:9">
      <c r="A244" s="25">
        <f t="shared" si="30"/>
        <v>1.3999999999999848</v>
      </c>
      <c r="B244" s="51">
        <f>(Prediction!$O$9*Calibration!$B$49*SQRT(I244+Prediction!$F$7-Prediction!$F$9))-((0.32989795*(I244+Prediction!$F$7-Prediction!$F$9)-1.302))</f>
        <v>9.2812095905966494</v>
      </c>
      <c r="C244" s="51">
        <f>I244*Calibration!$B$50*Prediction!$O$9*Prediction!$B$18/12500*'Degradation Model'!$B$26/Prediction!$B$8</f>
        <v>1.6881254108458559</v>
      </c>
      <c r="D244" s="51">
        <f t="shared" si="26"/>
        <v>1.8423166133151057</v>
      </c>
      <c r="E244" s="51">
        <f>((Prediction!$O$10-1)*F244*Prediction!$B$10/7)</f>
        <v>1.1786811811460607</v>
      </c>
      <c r="F244" s="51">
        <f t="shared" si="27"/>
        <v>11.123526203911755</v>
      </c>
      <c r="G244" s="51">
        <f t="shared" si="28"/>
        <v>12.302207385057816</v>
      </c>
      <c r="H244" s="51">
        <f t="shared" si="29"/>
        <v>87.697792614942188</v>
      </c>
      <c r="I244" s="25">
        <f t="shared" si="31"/>
        <v>1.3999999999999848</v>
      </c>
    </row>
    <row r="245" spans="1:9">
      <c r="A245" s="25">
        <f t="shared" si="30"/>
        <v>1.2999999999999847</v>
      </c>
      <c r="B245" s="51">
        <f>(Prediction!$O$9*Calibration!$B$49*SQRT(I245+Prediction!$F$7-Prediction!$F$9))-((0.32989795*(I245+Prediction!$F$7-Prediction!$F$9)-1.302))</f>
        <v>9.0372660493762407</v>
      </c>
      <c r="C245" s="51">
        <f>I245*Calibration!$B$50*Prediction!$O$9*Prediction!$B$18/12500*'Degradation Model'!$B$26/Prediction!$B$8</f>
        <v>1.5675450243568645</v>
      </c>
      <c r="D245" s="51">
        <f t="shared" si="26"/>
        <v>1.7054783699663225</v>
      </c>
      <c r="E245" s="51">
        <f>((Prediction!$O$10-1)*F245*Prediction!$B$10/7)</f>
        <v>1.1383324360298686</v>
      </c>
      <c r="F245" s="51">
        <f t="shared" si="27"/>
        <v>10.742744419342563</v>
      </c>
      <c r="G245" s="51">
        <f t="shared" si="28"/>
        <v>11.881076855372431</v>
      </c>
      <c r="H245" s="51">
        <f t="shared" si="29"/>
        <v>88.118923144627573</v>
      </c>
      <c r="I245" s="25">
        <f t="shared" si="31"/>
        <v>1.2999999999999847</v>
      </c>
    </row>
    <row r="246" spans="1:9">
      <c r="A246" s="25">
        <f t="shared" si="30"/>
        <v>1.1999999999999846</v>
      </c>
      <c r="B246" s="51">
        <f>(Prediction!$O$9*Calibration!$B$49*SQRT(I246+Prediction!$F$7-Prediction!$F$9))-((0.32989795*(I246+Prediction!$F$7-Prediction!$F$9)-1.302))</f>
        <v>8.7836572142861264</v>
      </c>
      <c r="C246" s="51">
        <f>I246*Calibration!$B$50*Prediction!$O$9*Prediction!$B$18/12500*'Degradation Model'!$B$26/Prediction!$B$8</f>
        <v>1.4469646378678735</v>
      </c>
      <c r="D246" s="51">
        <f t="shared" si="26"/>
        <v>1.5693062888809513</v>
      </c>
      <c r="E246" s="51">
        <f>((Prediction!$O$10-1)*F246*Prediction!$B$10/7)</f>
        <v>1.0970301167613303</v>
      </c>
      <c r="F246" s="51">
        <f t="shared" si="27"/>
        <v>10.352963503167079</v>
      </c>
      <c r="G246" s="51">
        <f t="shared" si="28"/>
        <v>11.449993619928408</v>
      </c>
      <c r="H246" s="51">
        <f t="shared" si="29"/>
        <v>88.550006380071594</v>
      </c>
      <c r="I246" s="25">
        <f t="shared" si="31"/>
        <v>1.1999999999999846</v>
      </c>
    </row>
    <row r="247" spans="1:9">
      <c r="A247" s="25">
        <f t="shared" si="30"/>
        <v>1.0999999999999845</v>
      </c>
      <c r="B247" s="51">
        <f>(Prediction!$O$9*Calibration!$B$49*SQRT(I247+Prediction!$F$7-Prediction!$F$9))-((0.32989795*(I247+Prediction!$F$7-Prediction!$F$9)-1.302))</f>
        <v>8.5192943891199686</v>
      </c>
      <c r="C247" s="51">
        <f>I247*Calibration!$B$50*Prediction!$O$9*Prediction!$B$18/12500*'Degradation Model'!$B$26/Prediction!$B$8</f>
        <v>1.3263842513788824</v>
      </c>
      <c r="D247" s="51">
        <f t="shared" si="26"/>
        <v>1.4338108865793899</v>
      </c>
      <c r="E247" s="51">
        <f>((Prediction!$O$10-1)*F247*Prediction!$B$10/7)</f>
        <v>1.0546599762858326</v>
      </c>
      <c r="F247" s="51">
        <f t="shared" si="27"/>
        <v>9.9531052756993592</v>
      </c>
      <c r="G247" s="51">
        <f t="shared" si="28"/>
        <v>11.007765251985191</v>
      </c>
      <c r="H247" s="51">
        <f t="shared" si="29"/>
        <v>88.992234748014809</v>
      </c>
      <c r="I247" s="25">
        <f t="shared" si="31"/>
        <v>1.0999999999999845</v>
      </c>
    </row>
    <row r="248" spans="1:9">
      <c r="A248" s="25">
        <f t="shared" si="30"/>
        <v>0.99999999999998457</v>
      </c>
      <c r="B248" s="51">
        <f>(Prediction!$O$9*Calibration!$B$49*SQRT(I248+Prediction!$F$7-Prediction!$F$9))-((0.32989795*(I248+Prediction!$F$7-Prediction!$F$9)-1.302))</f>
        <v>8.242867717600781</v>
      </c>
      <c r="C248" s="51">
        <f>I248*Calibration!$B$50*Prediction!$O$9*Prediction!$B$18/12500*'Degradation Model'!$B$26/Prediction!$B$8</f>
        <v>1.2058038648898917</v>
      </c>
      <c r="D248" s="51">
        <f t="shared" si="26"/>
        <v>1.2990044335099802</v>
      </c>
      <c r="E248" s="51">
        <f>((Prediction!$O$10-1)*F248*Prediction!$B$10/7)</f>
        <v>1.0110845186358999</v>
      </c>
      <c r="F248" s="51">
        <f t="shared" si="27"/>
        <v>9.5418721511107609</v>
      </c>
      <c r="G248" s="51">
        <f t="shared" si="28"/>
        <v>10.55295666974666</v>
      </c>
      <c r="H248" s="51">
        <f t="shared" si="29"/>
        <v>89.447043330253337</v>
      </c>
      <c r="I248" s="25">
        <f t="shared" si="31"/>
        <v>0.99999999999998457</v>
      </c>
    </row>
    <row r="249" spans="1:9">
      <c r="A249" s="25">
        <f t="shared" si="30"/>
        <v>0.89999999999998459</v>
      </c>
      <c r="B249" s="51">
        <f>(Prediction!$O$9*Calibration!$B$49*SQRT(I249+Prediction!$F$7-Prediction!$F$9))-((0.32989795*(I249+Prediction!$F$7-Prediction!$F$9)-1.302))</f>
        <v>7.9527776559869761</v>
      </c>
      <c r="C249" s="51">
        <f>I249*Calibration!$B$50*Prediction!$O$9*Prediction!$B$18/12500*'Degradation Model'!$B$26/Prediction!$B$8</f>
        <v>1.0852234784009005</v>
      </c>
      <c r="D249" s="51">
        <f t="shared" si="26"/>
        <v>1.1649013394055927</v>
      </c>
      <c r="E249" s="51">
        <f>((Prediction!$O$10-1)*F249*Prediction!$B$10/7)</f>
        <v>0.96613577840277431</v>
      </c>
      <c r="F249" s="51">
        <f t="shared" si="27"/>
        <v>9.1176789953925681</v>
      </c>
      <c r="G249" s="51">
        <f t="shared" si="28"/>
        <v>10.083814773795343</v>
      </c>
      <c r="H249" s="51">
        <f t="shared" si="29"/>
        <v>89.916185226204661</v>
      </c>
      <c r="I249" s="25">
        <f t="shared" si="31"/>
        <v>0.89999999999998459</v>
      </c>
    </row>
    <row r="250" spans="1:9">
      <c r="A250" s="25">
        <f t="shared" si="30"/>
        <v>0.79999999999998461</v>
      </c>
      <c r="B250" s="51">
        <f>(Prediction!$O$9*Calibration!$B$49*SQRT(I250+Prediction!$F$7-Prediction!$F$9))-((0.32989795*(I250+Prediction!$F$7-Prediction!$F$9)-1.302))</f>
        <v>7.6470364586737434</v>
      </c>
      <c r="C250" s="51">
        <f>I250*Calibration!$B$50*Prediction!$O$9*Prediction!$B$18/12500*'Degradation Model'!$B$26/Prediction!$B$8</f>
        <v>0.96464309191190933</v>
      </c>
      <c r="D250" s="51">
        <f t="shared" si="26"/>
        <v>1.0315186708920148</v>
      </c>
      <c r="E250" s="51">
        <f>((Prediction!$O$10-1)*F250*Prediction!$B$10/7)</f>
        <v>0.91960493671157106</v>
      </c>
      <c r="F250" s="51">
        <f t="shared" si="27"/>
        <v>8.6785551295657584</v>
      </c>
      <c r="G250" s="51">
        <f t="shared" si="28"/>
        <v>9.5981600662773303</v>
      </c>
      <c r="H250" s="51">
        <f t="shared" si="29"/>
        <v>90.40183993372267</v>
      </c>
      <c r="I250" s="25">
        <f t="shared" si="31"/>
        <v>0.79999999999998461</v>
      </c>
    </row>
    <row r="251" spans="1:9">
      <c r="A251" s="25">
        <f t="shared" ref="A251:A257" si="32">A250-0.1</f>
        <v>0.69999999999998463</v>
      </c>
      <c r="B251" s="51">
        <f>(Prediction!$O$9*Calibration!$B$49*SQRT(I251+Prediction!$F$7-Prediction!$F$9))-((0.32989795*(I251+Prediction!$F$7-Prediction!$F$9)-1.302))</f>
        <v>7.3231218856000879</v>
      </c>
      <c r="C251" s="51">
        <f>I251*Calibration!$B$50*Prediction!$O$9*Prediction!$B$18/12500*'Degradation Model'!$B$26/Prediction!$B$8</f>
        <v>0.84406270542291839</v>
      </c>
      <c r="D251" s="51">
        <f t="shared" si="26"/>
        <v>0.89887686576061465</v>
      </c>
      <c r="E251" s="51">
        <f>((Prediction!$O$10-1)*F251*Prediction!$B$10/7)</f>
        <v>0.87122689531915198</v>
      </c>
      <c r="F251" s="51">
        <f t="shared" si="27"/>
        <v>8.2219987513607027</v>
      </c>
      <c r="G251" s="51">
        <f t="shared" si="28"/>
        <v>9.0932256466798549</v>
      </c>
      <c r="H251" s="51">
        <f t="shared" si="29"/>
        <v>90.906774353320145</v>
      </c>
      <c r="I251" s="25">
        <f t="shared" ref="I251:I257" si="33">I250-0.1</f>
        <v>0.69999999999998463</v>
      </c>
    </row>
    <row r="252" spans="1:9">
      <c r="A252" s="25">
        <f t="shared" si="32"/>
        <v>0.59999999999998466</v>
      </c>
      <c r="B252" s="51">
        <f>(Prediction!$O$9*Calibration!$B$49*SQRT(I252+Prediction!$F$7-Prediction!$F$9))-((0.32989795*(I252+Prediction!$F$7-Prediction!$F$9)-1.302))</f>
        <v>6.9777513320779478</v>
      </c>
      <c r="C252" s="51">
        <f>I252*Calibration!$B$50*Prediction!$O$9*Prediction!$B$18/12500*'Degradation Model'!$B$26/Prediction!$B$8</f>
        <v>0.72348231893392767</v>
      </c>
      <c r="D252" s="51">
        <f t="shared" si="26"/>
        <v>0.76700075131012846</v>
      </c>
      <c r="E252" s="51">
        <f>((Prediction!$O$10-1)*F252*Prediction!$B$10/7)</f>
        <v>0.82065645066049875</v>
      </c>
      <c r="F252" s="51">
        <f t="shared" si="27"/>
        <v>7.7447520833880761</v>
      </c>
      <c r="G252" s="51">
        <f t="shared" si="28"/>
        <v>8.5654085340485757</v>
      </c>
      <c r="H252" s="51">
        <f t="shared" si="29"/>
        <v>91.434591465951428</v>
      </c>
      <c r="I252" s="25">
        <f t="shared" si="33"/>
        <v>0.59999999999998466</v>
      </c>
    </row>
    <row r="253" spans="1:9">
      <c r="A253" s="25">
        <f t="shared" si="32"/>
        <v>0.49999999999998468</v>
      </c>
      <c r="B253" s="51">
        <f>(Prediction!$O$9*Calibration!$B$49*SQRT(I253+Prediction!$F$7-Prediction!$F$9))-((0.32989795*(I253+Prediction!$F$7-Prediction!$F$9)-1.302))</f>
        <v>6.6065160593077552</v>
      </c>
      <c r="C253" s="51">
        <f>I253*Calibration!$B$50*Prediction!$O$9*Prediction!$B$18/12500*'Degradation Model'!$B$26/Prediction!$B$8</f>
        <v>0.60290193244493651</v>
      </c>
      <c r="D253" s="51">
        <f t="shared" si="26"/>
        <v>0.6359210557938979</v>
      </c>
      <c r="E253" s="51">
        <f>((Prediction!$O$10-1)*F253*Prediction!$B$10/7)</f>
        <v>0.767429696007916</v>
      </c>
      <c r="F253" s="51">
        <f t="shared" si="27"/>
        <v>7.2424371151016533</v>
      </c>
      <c r="G253" s="51">
        <f t="shared" si="28"/>
        <v>8.0098668111095694</v>
      </c>
      <c r="H253" s="51">
        <f t="shared" si="29"/>
        <v>91.990133188890425</v>
      </c>
      <c r="I253" s="25">
        <f t="shared" si="33"/>
        <v>0.49999999999998468</v>
      </c>
    </row>
    <row r="254" spans="1:9">
      <c r="A254" s="25">
        <f t="shared" si="32"/>
        <v>0.3999999999999847</v>
      </c>
      <c r="B254" s="51">
        <f>(Prediction!$O$9*Calibration!$B$49*SQRT(I254+Prediction!$F$7-Prediction!$F$9))-((0.32989795*(I254+Prediction!$F$7-Prediction!$F$9)-1.302))</f>
        <v>6.2032523303785663</v>
      </c>
      <c r="C254" s="51">
        <f>I254*Calibration!$B$50*Prediction!$O$9*Prediction!$B$18/12500*'Degradation Model'!$B$26/Prediction!$B$8</f>
        <v>0.48232154595594562</v>
      </c>
      <c r="D254" s="51">
        <f t="shared" si="26"/>
        <v>0.50567676888453839</v>
      </c>
      <c r="E254" s="51">
        <f>((Prediction!$O$10-1)*F254*Prediction!$B$10/7)</f>
        <v>0.71089763533471573</v>
      </c>
      <c r="F254" s="51">
        <f t="shared" si="27"/>
        <v>6.7089290992631048</v>
      </c>
      <c r="G254" s="51">
        <f t="shared" si="28"/>
        <v>7.4198267345978204</v>
      </c>
      <c r="H254" s="51">
        <f t="shared" si="29"/>
        <v>92.580173265402181</v>
      </c>
      <c r="I254" s="25">
        <f t="shared" si="33"/>
        <v>0.3999999999999847</v>
      </c>
    </row>
    <row r="255" spans="1:9">
      <c r="A255" s="25">
        <f t="shared" si="32"/>
        <v>0.29999999999998472</v>
      </c>
      <c r="B255" s="51">
        <f>(Prediction!$O$9*Calibration!$B$49*SQRT(I255+Prediction!$F$7-Prediction!$F$9))-((0.32989795*(I255+Prediction!$F$7-Prediction!$F$9)-1.302))</f>
        <v>5.7588729298616315</v>
      </c>
      <c r="C255" s="51">
        <f>I255*Calibration!$B$50*Prediction!$O$9*Prediction!$B$18/12500*'Degradation Model'!$B$26/Prediction!$B$8</f>
        <v>0.36174115946695462</v>
      </c>
      <c r="D255" s="51">
        <f t="shared" si="26"/>
        <v>0.37631908199754671</v>
      </c>
      <c r="E255" s="51">
        <f>((Prediction!$O$10-1)*F255*Prediction!$B$10/7)</f>
        <v>0.6501027852618364</v>
      </c>
      <c r="F255" s="51">
        <f t="shared" si="27"/>
        <v>6.1351920118591785</v>
      </c>
      <c r="G255" s="51">
        <f t="shared" si="28"/>
        <v>6.7852947971210149</v>
      </c>
      <c r="H255" s="51">
        <f t="shared" si="29"/>
        <v>93.214705202878989</v>
      </c>
      <c r="I255" s="25">
        <f t="shared" si="33"/>
        <v>0.29999999999998472</v>
      </c>
    </row>
    <row r="256" spans="1:9">
      <c r="A256" s="25">
        <f t="shared" si="32"/>
        <v>0.19999999999998472</v>
      </c>
      <c r="B256" s="51">
        <f>(Prediction!$O$9*Calibration!$B$49*SQRT(I256+Prediction!$F$7-Prediction!$F$9))-((0.32989795*(I256+Prediction!$F$7-Prediction!$F$9)-1.302))</f>
        <v>5.2589550575732682</v>
      </c>
      <c r="C256" s="51">
        <f>I256*Calibration!$B$50*Prediction!$O$9*Prediction!$B$18/12500*'Degradation Model'!$B$26/Prediction!$B$8</f>
        <v>0.24116077297796359</v>
      </c>
      <c r="D256" s="51">
        <f t="shared" si="26"/>
        <v>0.24791859480831327</v>
      </c>
      <c r="E256" s="51">
        <f>((Prediction!$O$10-1)*F256*Prediction!$B$10/7)</f>
        <v>0.58352434489061922</v>
      </c>
      <c r="F256" s="51">
        <f t="shared" si="27"/>
        <v>5.5068736523815813</v>
      </c>
      <c r="G256" s="51">
        <f t="shared" si="28"/>
        <v>6.0903979972722002</v>
      </c>
      <c r="H256" s="51">
        <f t="shared" si="29"/>
        <v>93.909602002727794</v>
      </c>
      <c r="I256" s="25">
        <f t="shared" si="33"/>
        <v>0.19999999999998472</v>
      </c>
    </row>
    <row r="257" spans="1:9">
      <c r="A257" s="25">
        <f t="shared" si="32"/>
        <v>9.9999999999984712E-2</v>
      </c>
      <c r="B257" s="51">
        <f>(Prediction!$O$9*Calibration!$B$49*SQRT(I257+Prediction!$F$7-Prediction!$F$9))-((0.32989795*(I257+Prediction!$F$7-Prediction!$F$9)-1.302))</f>
        <v>4.6779410672373976</v>
      </c>
      <c r="C257" s="51">
        <f>I257*Calibration!$B$50*Prediction!$O$9*Prediction!$B$18/12500*'Degradation Model'!$B$26/Prediction!$B$8</f>
        <v>0.12058038648897257</v>
      </c>
      <c r="D257" s="51">
        <f>C257</f>
        <v>0.12058038648897257</v>
      </c>
      <c r="E257" s="51">
        <f>((Prediction!$O$10-1)*F257*Prediction!$B$10/7)</f>
        <v>0.50846528620069409</v>
      </c>
      <c r="F257" s="51">
        <f t="shared" si="27"/>
        <v>4.7985214537263703</v>
      </c>
      <c r="G257" s="51">
        <f t="shared" si="28"/>
        <v>5.3069867399270647</v>
      </c>
      <c r="H257" s="51">
        <f t="shared" si="29"/>
        <v>94.693013260072931</v>
      </c>
      <c r="I257" s="25">
        <f t="shared" si="33"/>
        <v>9.9999999999984712E-2</v>
      </c>
    </row>
    <row r="262" spans="1:9">
      <c r="A262" s="28" t="s">
        <v>291</v>
      </c>
      <c r="B262" s="28"/>
      <c r="C262" s="28"/>
    </row>
    <row r="266" spans="1:9">
      <c r="A266" s="7"/>
      <c r="B266" s="7"/>
      <c r="C266" s="7"/>
      <c r="D266" s="8" t="s">
        <v>2</v>
      </c>
      <c r="E266" s="8" t="s">
        <v>3</v>
      </c>
      <c r="F266" s="8" t="s">
        <v>4</v>
      </c>
      <c r="G266" s="7"/>
      <c r="H266" s="8" t="s">
        <v>6</v>
      </c>
      <c r="I266" s="7"/>
    </row>
    <row r="267" spans="1:9">
      <c r="A267" s="8" t="s">
        <v>42</v>
      </c>
      <c r="B267" s="8" t="s">
        <v>9</v>
      </c>
      <c r="C267" s="8" t="s">
        <v>10</v>
      </c>
      <c r="D267" s="8" t="s">
        <v>10</v>
      </c>
      <c r="E267" s="8" t="s">
        <v>11</v>
      </c>
      <c r="F267" s="8" t="s">
        <v>10</v>
      </c>
      <c r="G267" s="8" t="s">
        <v>12</v>
      </c>
      <c r="H267" s="8" t="s">
        <v>52</v>
      </c>
      <c r="I267" s="8" t="s">
        <v>42</v>
      </c>
    </row>
    <row r="268" spans="1:9">
      <c r="A268" s="8"/>
      <c r="B268" s="8"/>
      <c r="C268" s="8"/>
      <c r="D268" s="7"/>
      <c r="E268" s="8"/>
      <c r="F268" s="8"/>
      <c r="G268" s="8"/>
      <c r="H268" s="8"/>
      <c r="I268" s="8"/>
    </row>
    <row r="269" spans="1:9">
      <c r="A269" s="36">
        <f t="shared" ref="A269:A300" si="34">A270+0.1</f>
        <v>25.000000000000071</v>
      </c>
      <c r="B269" s="51">
        <f>(Calibration!$O$63*Calibration!$B$49*SQRT(I269+Calibration!$F$61-Calibration!$F$63))-((0.32989795*(I269+Calibration!$F$61-Calibration!$F$63))-1.302)</f>
        <v>27.123170730187844</v>
      </c>
      <c r="C269" s="51">
        <f>I269*Calibration!$B$50*Calibration!$O$63*Calibration!$B$71/12500*'Degradation Model'!$B$26/Calibration!$B$61</f>
        <v>30.344507587774995</v>
      </c>
      <c r="D269" s="51">
        <f t="shared" ref="D269:D332" si="35">D270+($C$518*100/H270)</f>
        <v>102.02133338264738</v>
      </c>
      <c r="E269" s="51">
        <f>((Calibration!$O$64-1)*F269*Calibration!$B$63/7)</f>
        <v>13.68452717742584</v>
      </c>
      <c r="F269" s="51">
        <f t="shared" ref="F269:F332" si="36">B269+D269</f>
        <v>129.14450411283522</v>
      </c>
      <c r="G269" s="51">
        <f t="shared" ref="G269:G332" si="37">F269+E269</f>
        <v>142.82903129026107</v>
      </c>
      <c r="H269" s="51">
        <f t="shared" ref="H269:H332" si="38">IF(100-G269&lt;10,10,100-G269)</f>
        <v>10</v>
      </c>
      <c r="I269" s="36">
        <f t="shared" ref="I269:I300" si="39">I270+0.1</f>
        <v>25.000000000000071</v>
      </c>
    </row>
    <row r="270" spans="1:9">
      <c r="A270" s="36">
        <f t="shared" si="34"/>
        <v>24.90000000000007</v>
      </c>
      <c r="B270" s="51">
        <f>(Calibration!$O$63*Calibration!$B$49*SQRT(I270+Calibration!$F$61-Calibration!$F$63))-((0.32989795*(I270+Calibration!$F$61-Calibration!$F$63))-1.302)</f>
        <v>27.088281943206447</v>
      </c>
      <c r="C270" s="51">
        <f>I270*Calibration!$B$50*Calibration!$O$63*Calibration!$B$71/12500*'Degradation Model'!$B$26/Calibration!$B$61</f>
        <v>30.223129557423899</v>
      </c>
      <c r="D270" s="51">
        <f t="shared" si="35"/>
        <v>100.80755307913657</v>
      </c>
      <c r="E270" s="51">
        <f>((Calibration!$O$64-1)*F270*Calibration!$B$63/7)</f>
        <v>13.552214569763324</v>
      </c>
      <c r="F270" s="51">
        <f t="shared" si="36"/>
        <v>127.89583502234302</v>
      </c>
      <c r="G270" s="51">
        <f t="shared" si="37"/>
        <v>141.44804959210634</v>
      </c>
      <c r="H270" s="51">
        <f t="shared" si="38"/>
        <v>10</v>
      </c>
      <c r="I270" s="36">
        <f t="shared" si="39"/>
        <v>24.90000000000007</v>
      </c>
    </row>
    <row r="271" spans="1:9">
      <c r="A271" s="36">
        <f t="shared" si="34"/>
        <v>24.800000000000068</v>
      </c>
      <c r="B271" s="51">
        <f>(Calibration!$O$63*Calibration!$B$49*SQRT(I271+Calibration!$F$61-Calibration!$F$63))-((0.32989795*(I271+Calibration!$F$61-Calibration!$F$63))-1.302)</f>
        <v>27.053257582515549</v>
      </c>
      <c r="C271" s="51">
        <f>I271*Calibration!$B$50*Calibration!$O$63*Calibration!$B$71/12500*'Degradation Model'!$B$26/Calibration!$B$61</f>
        <v>30.101751527072796</v>
      </c>
      <c r="D271" s="51">
        <f t="shared" si="35"/>
        <v>99.593772775625752</v>
      </c>
      <c r="E271" s="51">
        <f>((Calibration!$O$64-1)*F271*Calibration!$B$63/7)</f>
        <v>13.419887596316329</v>
      </c>
      <c r="F271" s="51">
        <f t="shared" si="36"/>
        <v>126.64703035814131</v>
      </c>
      <c r="G271" s="51">
        <f t="shared" si="37"/>
        <v>140.06691795445764</v>
      </c>
      <c r="H271" s="51">
        <f t="shared" si="38"/>
        <v>10</v>
      </c>
      <c r="I271" s="36">
        <f t="shared" si="39"/>
        <v>24.800000000000068</v>
      </c>
    </row>
    <row r="272" spans="1:9">
      <c r="A272" s="36">
        <f t="shared" si="34"/>
        <v>24.700000000000067</v>
      </c>
      <c r="B272" s="51">
        <f>(Calibration!$O$63*Calibration!$B$49*SQRT(I272+Calibration!$F$61-Calibration!$F$63))-((0.32989795*(I272+Calibration!$F$61-Calibration!$F$63))-1.302)</f>
        <v>27.018096832512509</v>
      </c>
      <c r="C272" s="51">
        <f>I272*Calibration!$B$50*Calibration!$O$63*Calibration!$B$71/12500*'Degradation Model'!$B$26/Calibration!$B$61</f>
        <v>29.98037349672169</v>
      </c>
      <c r="D272" s="51">
        <f t="shared" si="35"/>
        <v>98.379992472114935</v>
      </c>
      <c r="E272" s="51">
        <f>((Calibration!$O$64-1)*F272*Calibration!$B$63/7)</f>
        <v>13.28754617066123</v>
      </c>
      <c r="F272" s="51">
        <f t="shared" si="36"/>
        <v>125.39808930462745</v>
      </c>
      <c r="G272" s="51">
        <f t="shared" si="37"/>
        <v>138.68563547528868</v>
      </c>
      <c r="H272" s="51">
        <f t="shared" si="38"/>
        <v>10</v>
      </c>
      <c r="I272" s="36">
        <f t="shared" si="39"/>
        <v>24.700000000000067</v>
      </c>
    </row>
    <row r="273" spans="1:9">
      <c r="A273" s="36">
        <f t="shared" si="34"/>
        <v>24.600000000000065</v>
      </c>
      <c r="B273" s="51">
        <f>(Calibration!$O$63*Calibration!$B$49*SQRT(I273+Calibration!$F$61-Calibration!$F$63))-((0.32989795*(I273+Calibration!$F$61-Calibration!$F$63))-1.302)</f>
        <v>26.982798869384034</v>
      </c>
      <c r="C273" s="51">
        <f>I273*Calibration!$B$50*Calibration!$O$63*Calibration!$B$71/12500*'Degradation Model'!$B$26/Calibration!$B$61</f>
        <v>29.858995466370594</v>
      </c>
      <c r="D273" s="51">
        <f t="shared" si="35"/>
        <v>97.166212168604119</v>
      </c>
      <c r="E273" s="51">
        <f>((Calibration!$O$64-1)*F273*Calibration!$B$63/7)</f>
        <v>13.155190205504377</v>
      </c>
      <c r="F273" s="51">
        <f t="shared" si="36"/>
        <v>124.14901103798815</v>
      </c>
      <c r="G273" s="51">
        <f t="shared" si="37"/>
        <v>137.30420124349251</v>
      </c>
      <c r="H273" s="51">
        <f t="shared" si="38"/>
        <v>10</v>
      </c>
      <c r="I273" s="36">
        <f t="shared" si="39"/>
        <v>24.600000000000065</v>
      </c>
    </row>
    <row r="274" spans="1:9">
      <c r="A274" s="36">
        <f t="shared" si="34"/>
        <v>24.500000000000064</v>
      </c>
      <c r="B274" s="51">
        <f>(Calibration!$O$63*Calibration!$B$49*SQRT(I274+Calibration!$F$61-Calibration!$F$63))-((0.32989795*(I274+Calibration!$F$61-Calibration!$F$63))-1.302)</f>
        <v>26.947362860990019</v>
      </c>
      <c r="C274" s="51">
        <f>I274*Calibration!$B$50*Calibration!$O$63*Calibration!$B$71/12500*'Degradation Model'!$B$26/Calibration!$B$61</f>
        <v>29.737617436019487</v>
      </c>
      <c r="D274" s="51">
        <f t="shared" si="35"/>
        <v>95.952431865093303</v>
      </c>
      <c r="E274" s="51">
        <f>((Calibration!$O$64-1)*F274*Calibration!$B$63/7)</f>
        <v>13.022819612669787</v>
      </c>
      <c r="F274" s="51">
        <f t="shared" si="36"/>
        <v>122.89979472608331</v>
      </c>
      <c r="G274" s="51">
        <f t="shared" si="37"/>
        <v>135.92261433875311</v>
      </c>
      <c r="H274" s="51">
        <f t="shared" si="38"/>
        <v>10</v>
      </c>
      <c r="I274" s="36">
        <f t="shared" si="39"/>
        <v>24.500000000000064</v>
      </c>
    </row>
    <row r="275" spans="1:9">
      <c r="A275" s="36">
        <f t="shared" si="34"/>
        <v>24.400000000000063</v>
      </c>
      <c r="B275" s="51">
        <f>(Calibration!$O$63*Calibration!$B$49*SQRT(I275+Calibration!$F$61-Calibration!$F$63))-((0.32989795*(I275+Calibration!$F$61-Calibration!$F$63))-1.302)</f>
        <v>26.911787966745223</v>
      </c>
      <c r="C275" s="51">
        <f>I275*Calibration!$B$50*Calibration!$O$63*Calibration!$B$71/12500*'Degradation Model'!$B$26/Calibration!$B$61</f>
        <v>29.616239405668388</v>
      </c>
      <c r="D275" s="51">
        <f t="shared" si="35"/>
        <v>94.738651561582486</v>
      </c>
      <c r="E275" s="51">
        <f>((Calibration!$O$64-1)*F275*Calibration!$B$63/7)</f>
        <v>12.890434303086598</v>
      </c>
      <c r="F275" s="51">
        <f t="shared" si="36"/>
        <v>121.65043952832771</v>
      </c>
      <c r="G275" s="51">
        <f t="shared" si="37"/>
        <v>134.5408738314143</v>
      </c>
      <c r="H275" s="51">
        <f t="shared" si="38"/>
        <v>10</v>
      </c>
      <c r="I275" s="36">
        <f t="shared" si="39"/>
        <v>24.400000000000063</v>
      </c>
    </row>
    <row r="276" spans="1:9">
      <c r="A276" s="36">
        <f t="shared" si="34"/>
        <v>24.300000000000061</v>
      </c>
      <c r="B276" s="51">
        <f>(Calibration!$O$63*Calibration!$B$49*SQRT(I276+Calibration!$F$61-Calibration!$F$63))-((0.32989795*(I276+Calibration!$F$61-Calibration!$F$63))-1.302)</f>
        <v>26.876073337498799</v>
      </c>
      <c r="C276" s="51">
        <f>I276*Calibration!$B$50*Calibration!$O$63*Calibration!$B$71/12500*'Degradation Model'!$B$26/Calibration!$B$61</f>
        <v>29.494861375317281</v>
      </c>
      <c r="D276" s="51">
        <f t="shared" si="35"/>
        <v>93.52487125807167</v>
      </c>
      <c r="E276" s="51">
        <f>((Calibration!$O$64-1)*F276*Calibration!$B$63/7)</f>
        <v>12.758034186776323</v>
      </c>
      <c r="F276" s="51">
        <f t="shared" si="36"/>
        <v>120.40094459557046</v>
      </c>
      <c r="G276" s="51">
        <f t="shared" si="37"/>
        <v>133.15897878234679</v>
      </c>
      <c r="H276" s="51">
        <f t="shared" si="38"/>
        <v>10</v>
      </c>
      <c r="I276" s="36">
        <f t="shared" si="39"/>
        <v>24.300000000000061</v>
      </c>
    </row>
    <row r="277" spans="1:9">
      <c r="A277" s="36">
        <f t="shared" si="34"/>
        <v>24.20000000000006</v>
      </c>
      <c r="B277" s="51">
        <f>(Calibration!$O$63*Calibration!$B$49*SQRT(I277+Calibration!$F$61-Calibration!$F$63))-((0.32989795*(I277+Calibration!$F$61-Calibration!$F$63))-1.302)</f>
        <v>26.840218115411602</v>
      </c>
      <c r="C277" s="51">
        <f>I277*Calibration!$B$50*Calibration!$O$63*Calibration!$B$71/12500*'Degradation Model'!$B$26/Calibration!$B$61</f>
        <v>29.373483344966186</v>
      </c>
      <c r="D277" s="51">
        <f t="shared" si="35"/>
        <v>92.311090954560854</v>
      </c>
      <c r="E277" s="51">
        <f>((Calibration!$O$64-1)*F277*Calibration!$B$63/7)</f>
        <v>12.625619172839828</v>
      </c>
      <c r="F277" s="51">
        <f t="shared" si="36"/>
        <v>119.15130906997246</v>
      </c>
      <c r="G277" s="51">
        <f t="shared" si="37"/>
        <v>131.77692824281229</v>
      </c>
      <c r="H277" s="51">
        <f t="shared" si="38"/>
        <v>10</v>
      </c>
      <c r="I277" s="36">
        <f t="shared" si="39"/>
        <v>24.20000000000006</v>
      </c>
    </row>
    <row r="278" spans="1:9">
      <c r="A278" s="36">
        <f t="shared" si="34"/>
        <v>24.100000000000058</v>
      </c>
      <c r="B278" s="51">
        <f>(Calibration!$O$63*Calibration!$B$49*SQRT(I278+Calibration!$F$61-Calibration!$F$63))-((0.32989795*(I278+Calibration!$F$61-Calibration!$F$63))-1.302)</f>
        <v>26.804221433831188</v>
      </c>
      <c r="C278" s="51">
        <f>I278*Calibration!$B$50*Calibration!$O$63*Calibration!$B$71/12500*'Degradation Model'!$B$26/Calibration!$B$61</f>
        <v>29.25210531461509</v>
      </c>
      <c r="D278" s="51">
        <f t="shared" si="35"/>
        <v>91.097310651050037</v>
      </c>
      <c r="E278" s="51">
        <f>((Calibration!$O$64-1)*F278*Calibration!$B$63/7)</f>
        <v>12.493189169444099</v>
      </c>
      <c r="F278" s="51">
        <f t="shared" si="36"/>
        <v>117.90153208488123</v>
      </c>
      <c r="G278" s="51">
        <f t="shared" si="37"/>
        <v>130.39472125432533</v>
      </c>
      <c r="H278" s="51">
        <f t="shared" si="38"/>
        <v>10</v>
      </c>
      <c r="I278" s="36">
        <f t="shared" si="39"/>
        <v>24.100000000000058</v>
      </c>
    </row>
    <row r="279" spans="1:9">
      <c r="A279" s="36">
        <f t="shared" si="34"/>
        <v>24.000000000000057</v>
      </c>
      <c r="B279" s="51">
        <f>(Calibration!$O$63*Calibration!$B$49*SQRT(I279+Calibration!$F$61-Calibration!$F$63))-((0.32989795*(I279+Calibration!$F$61-Calibration!$F$63))-1.302)</f>
        <v>26.768082417164585</v>
      </c>
      <c r="C279" s="51">
        <f>I279*Calibration!$B$50*Calibration!$O$63*Calibration!$B$71/12500*'Degradation Model'!$B$26/Calibration!$B$61</f>
        <v>29.130727284263983</v>
      </c>
      <c r="D279" s="51">
        <f t="shared" si="35"/>
        <v>89.883530347539221</v>
      </c>
      <c r="E279" s="51">
        <f>((Calibration!$O$64-1)*F279*Calibration!$B$63/7)</f>
        <v>12.360744083808763</v>
      </c>
      <c r="F279" s="51">
        <f t="shared" si="36"/>
        <v>116.6516127647038</v>
      </c>
      <c r="G279" s="51">
        <f t="shared" si="37"/>
        <v>129.01235684851255</v>
      </c>
      <c r="H279" s="51">
        <f t="shared" si="38"/>
        <v>10</v>
      </c>
      <c r="I279" s="36">
        <f t="shared" si="39"/>
        <v>24.000000000000057</v>
      </c>
    </row>
    <row r="280" spans="1:9">
      <c r="A280" s="36">
        <f t="shared" si="34"/>
        <v>23.900000000000055</v>
      </c>
      <c r="B280" s="51">
        <f>(Calibration!$O$63*Calibration!$B$49*SQRT(I280+Calibration!$F$61-Calibration!$F$63))-((0.32989795*(I280+Calibration!$F$61-Calibration!$F$63))-1.302)</f>
        <v>26.731800180748575</v>
      </c>
      <c r="C280" s="51">
        <f>I280*Calibration!$B$50*Calibration!$O$63*Calibration!$B$71/12500*'Degradation Model'!$B$26/Calibration!$B$61</f>
        <v>29.009349253912884</v>
      </c>
      <c r="D280" s="51">
        <f t="shared" si="35"/>
        <v>88.669750044028405</v>
      </c>
      <c r="E280" s="51">
        <f>((Calibration!$O$64-1)*F280*Calibration!$B$63/7)</f>
        <v>12.22828382219233</v>
      </c>
      <c r="F280" s="51">
        <f t="shared" si="36"/>
        <v>115.40155022477698</v>
      </c>
      <c r="G280" s="51">
        <f t="shared" si="37"/>
        <v>127.62983404696931</v>
      </c>
      <c r="H280" s="51">
        <f t="shared" si="38"/>
        <v>10</v>
      </c>
      <c r="I280" s="36">
        <f t="shared" si="39"/>
        <v>23.900000000000055</v>
      </c>
    </row>
    <row r="281" spans="1:9">
      <c r="A281" s="36">
        <f t="shared" si="34"/>
        <v>23.800000000000054</v>
      </c>
      <c r="B281" s="51">
        <f>(Calibration!$O$63*Calibration!$B$49*SQRT(I281+Calibration!$F$61-Calibration!$F$63))-((0.32989795*(I281+Calibration!$F$61-Calibration!$F$63))-1.302)</f>
        <v>26.695373830717624</v>
      </c>
      <c r="C281" s="51">
        <f>I281*Calibration!$B$50*Calibration!$O$63*Calibration!$B$71/12500*'Degradation Model'!$B$26/Calibration!$B$61</f>
        <v>28.887971223561781</v>
      </c>
      <c r="D281" s="51">
        <f t="shared" si="35"/>
        <v>87.455969740517588</v>
      </c>
      <c r="E281" s="51">
        <f>((Calibration!$O$64-1)*F281*Calibration!$B$63/7)</f>
        <v>12.09580828987821</v>
      </c>
      <c r="F281" s="51">
        <f t="shared" si="36"/>
        <v>114.15134357123522</v>
      </c>
      <c r="G281" s="51">
        <f t="shared" si="37"/>
        <v>126.24715186111342</v>
      </c>
      <c r="H281" s="51">
        <f t="shared" si="38"/>
        <v>10</v>
      </c>
      <c r="I281" s="36">
        <f t="shared" si="39"/>
        <v>23.800000000000054</v>
      </c>
    </row>
    <row r="282" spans="1:9">
      <c r="A282" s="36">
        <f t="shared" si="34"/>
        <v>23.700000000000053</v>
      </c>
      <c r="B282" s="51">
        <f>(Calibration!$O$63*Calibration!$B$49*SQRT(I282+Calibration!$F$61-Calibration!$F$63))-((0.32989795*(I282+Calibration!$F$61-Calibration!$F$63))-1.302)</f>
        <v>26.658802463869343</v>
      </c>
      <c r="C282" s="51">
        <f>I282*Calibration!$B$50*Calibration!$O$63*Calibration!$B$71/12500*'Degradation Model'!$B$26/Calibration!$B$61</f>
        <v>28.766593193210678</v>
      </c>
      <c r="D282" s="51">
        <f t="shared" si="35"/>
        <v>86.242189437006772</v>
      </c>
      <c r="E282" s="51">
        <f>((Calibration!$O$64-1)*F282*Calibration!$B$63/7)</f>
        <v>11.96331739116045</v>
      </c>
      <c r="F282" s="51">
        <f t="shared" si="36"/>
        <v>112.90099190087611</v>
      </c>
      <c r="G282" s="51">
        <f t="shared" si="37"/>
        <v>124.86430929203655</v>
      </c>
      <c r="H282" s="51">
        <f t="shared" si="38"/>
        <v>10</v>
      </c>
      <c r="I282" s="36">
        <f t="shared" si="39"/>
        <v>23.700000000000053</v>
      </c>
    </row>
    <row r="283" spans="1:9">
      <c r="A283" s="36">
        <f t="shared" si="34"/>
        <v>23.600000000000051</v>
      </c>
      <c r="B283" s="51">
        <f>(Calibration!$O$63*Calibration!$B$49*SQRT(I283+Calibration!$F$61-Calibration!$F$63))-((0.32989795*(I283+Calibration!$F$61-Calibration!$F$63))-1.302)</f>
        <v>26.62208516752731</v>
      </c>
      <c r="C283" s="51">
        <f>I283*Calibration!$B$50*Calibration!$O$63*Calibration!$B$71/12500*'Degradation Model'!$B$26/Calibration!$B$61</f>
        <v>28.645215162859571</v>
      </c>
      <c r="D283" s="51">
        <f t="shared" si="35"/>
        <v>85.028409133495956</v>
      </c>
      <c r="E283" s="51">
        <f>((Calibration!$O$64-1)*F283*Calibration!$B$63/7)</f>
        <v>11.830811029329206</v>
      </c>
      <c r="F283" s="51">
        <f t="shared" si="36"/>
        <v>111.65049430102326</v>
      </c>
      <c r="G283" s="51">
        <f t="shared" si="37"/>
        <v>123.48130533035247</v>
      </c>
      <c r="H283" s="51">
        <f t="shared" si="38"/>
        <v>10</v>
      </c>
      <c r="I283" s="36">
        <f t="shared" si="39"/>
        <v>23.600000000000051</v>
      </c>
    </row>
    <row r="284" spans="1:9">
      <c r="A284" s="36">
        <f t="shared" si="34"/>
        <v>23.50000000000005</v>
      </c>
      <c r="B284" s="51">
        <f>(Calibration!$O$63*Calibration!$B$49*SQRT(I284+Calibration!$F$61-Calibration!$F$63))-((0.32989795*(I284+Calibration!$F$61-Calibration!$F$63))-1.302)</f>
        <v>26.58522101940143</v>
      </c>
      <c r="C284" s="51">
        <f>I284*Calibration!$B$50*Calibration!$O$63*Calibration!$B$71/12500*'Degradation Model'!$B$26/Calibration!$B$61</f>
        <v>28.523837132508476</v>
      </c>
      <c r="D284" s="51">
        <f t="shared" si="35"/>
        <v>83.814628829985139</v>
      </c>
      <c r="E284" s="51">
        <f>((Calibration!$O$64-1)*F284*Calibration!$B$63/7)</f>
        <v>11.698289106655935</v>
      </c>
      <c r="F284" s="51">
        <f t="shared" si="36"/>
        <v>110.39984984938657</v>
      </c>
      <c r="G284" s="51">
        <f t="shared" si="37"/>
        <v>122.0981389560425</v>
      </c>
      <c r="H284" s="51">
        <f t="shared" si="38"/>
        <v>10</v>
      </c>
      <c r="I284" s="36">
        <f t="shared" si="39"/>
        <v>23.50000000000005</v>
      </c>
    </row>
    <row r="285" spans="1:9">
      <c r="A285" s="36">
        <f t="shared" si="34"/>
        <v>23.400000000000048</v>
      </c>
      <c r="B285" s="51">
        <f>(Calibration!$O$63*Calibration!$B$49*SQRT(I285+Calibration!$F$61-Calibration!$F$63))-((0.32989795*(I285+Calibration!$F$61-Calibration!$F$63))-1.302)</f>
        <v>26.548209087445489</v>
      </c>
      <c r="C285" s="51">
        <f>I285*Calibration!$B$50*Calibration!$O$63*Calibration!$B$71/12500*'Degradation Model'!$B$26/Calibration!$B$61</f>
        <v>28.40245910215738</v>
      </c>
      <c r="D285" s="51">
        <f t="shared" si="35"/>
        <v>82.600848526474323</v>
      </c>
      <c r="E285" s="51">
        <f>((Calibration!$O$64-1)*F285*Calibration!$B$63/7)</f>
        <v>11.565751524378308</v>
      </c>
      <c r="F285" s="51">
        <f t="shared" si="36"/>
        <v>109.14905761391981</v>
      </c>
      <c r="G285" s="51">
        <f t="shared" si="37"/>
        <v>120.71480913829812</v>
      </c>
      <c r="H285" s="51">
        <f t="shared" si="38"/>
        <v>10</v>
      </c>
      <c r="I285" s="36">
        <f t="shared" si="39"/>
        <v>23.400000000000048</v>
      </c>
    </row>
    <row r="286" spans="1:9">
      <c r="A286" s="36">
        <f t="shared" si="34"/>
        <v>23.300000000000047</v>
      </c>
      <c r="B286" s="51">
        <f>(Calibration!$O$63*Calibration!$B$49*SQRT(I286+Calibration!$F$61-Calibration!$F$63))-((0.32989795*(I286+Calibration!$F$61-Calibration!$F$63))-1.302)</f>
        <v>26.511048429712126</v>
      </c>
      <c r="C286" s="51">
        <f>I286*Calibration!$B$50*Calibration!$O$63*Calibration!$B$71/12500*'Degradation Model'!$B$26/Calibration!$B$61</f>
        <v>28.281081071806273</v>
      </c>
      <c r="D286" s="51">
        <f t="shared" si="35"/>
        <v>81.387068222963507</v>
      </c>
      <c r="E286" s="51">
        <f>((Calibration!$O$64-1)*F286*Calibration!$B$63/7)</f>
        <v>11.433198182684848</v>
      </c>
      <c r="F286" s="51">
        <f t="shared" si="36"/>
        <v>107.89811665267564</v>
      </c>
      <c r="G286" s="51">
        <f t="shared" si="37"/>
        <v>119.33131483536049</v>
      </c>
      <c r="H286" s="51">
        <f t="shared" si="38"/>
        <v>10</v>
      </c>
      <c r="I286" s="36">
        <f t="shared" si="39"/>
        <v>23.300000000000047</v>
      </c>
    </row>
    <row r="287" spans="1:9">
      <c r="A287" s="36">
        <f t="shared" si="34"/>
        <v>23.200000000000045</v>
      </c>
      <c r="B287" s="51">
        <f>(Calibration!$O$63*Calibration!$B$49*SQRT(I287+Calibration!$F$61-Calibration!$F$63))-((0.32989795*(I287+Calibration!$F$61-Calibration!$F$63))-1.302)</f>
        <v>26.473738094204897</v>
      </c>
      <c r="C287" s="51">
        <f>I287*Calibration!$B$50*Calibration!$O$63*Calibration!$B$71/12500*'Degradation Model'!$B$26/Calibration!$B$61</f>
        <v>28.15970304145517</v>
      </c>
      <c r="D287" s="51">
        <f t="shared" si="35"/>
        <v>80.17328791945269</v>
      </c>
      <c r="E287" s="51">
        <f>((Calibration!$O$64-1)*F287*Calibration!$B$63/7)</f>
        <v>11.300628980699241</v>
      </c>
      <c r="F287" s="51">
        <f t="shared" si="36"/>
        <v>106.64702601365758</v>
      </c>
      <c r="G287" s="51">
        <f t="shared" si="37"/>
        <v>117.94765499435682</v>
      </c>
      <c r="H287" s="51">
        <f t="shared" si="38"/>
        <v>10</v>
      </c>
      <c r="I287" s="36">
        <f t="shared" si="39"/>
        <v>23.200000000000045</v>
      </c>
    </row>
    <row r="288" spans="1:9">
      <c r="A288" s="36">
        <f t="shared" si="34"/>
        <v>23.100000000000044</v>
      </c>
      <c r="B288" s="51">
        <f>(Calibration!$O$63*Calibration!$B$49*SQRT(I288+Calibration!$F$61-Calibration!$F$63))-((0.32989795*(I288+Calibration!$F$61-Calibration!$F$63))-1.302)</f>
        <v>26.436277118727581</v>
      </c>
      <c r="C288" s="51">
        <f>I288*Calibration!$B$50*Calibration!$O$63*Calibration!$B$71/12500*'Degradation Model'!$B$26/Calibration!$B$61</f>
        <v>28.038325011104067</v>
      </c>
      <c r="D288" s="51">
        <f t="shared" si="35"/>
        <v>78.959507615941874</v>
      </c>
      <c r="E288" s="51">
        <f>((Calibration!$O$64-1)*F288*Calibration!$B$63/7)</f>
        <v>11.168043816464378</v>
      </c>
      <c r="F288" s="51">
        <f t="shared" si="36"/>
        <v>105.39578473466946</v>
      </c>
      <c r="G288" s="51">
        <f t="shared" si="37"/>
        <v>116.56382855113384</v>
      </c>
      <c r="H288" s="51">
        <f t="shared" si="38"/>
        <v>10</v>
      </c>
      <c r="I288" s="36">
        <f t="shared" si="39"/>
        <v>23.100000000000044</v>
      </c>
    </row>
    <row r="289" spans="1:9">
      <c r="A289" s="36">
        <f t="shared" si="34"/>
        <v>23.000000000000043</v>
      </c>
      <c r="B289" s="51">
        <f>(Calibration!$O$63*Calibration!$B$49*SQRT(I289+Calibration!$F$61-Calibration!$F$63))-((0.32989795*(I289+Calibration!$F$61-Calibration!$F$63))-1.302)</f>
        <v>26.398664530730496</v>
      </c>
      <c r="C289" s="51">
        <f>I289*Calibration!$B$50*Calibration!$O$63*Calibration!$B$71/12500*'Degradation Model'!$B$26/Calibration!$B$61</f>
        <v>27.916946980752975</v>
      </c>
      <c r="D289" s="51">
        <f t="shared" si="35"/>
        <v>77.745727312431057</v>
      </c>
      <c r="E289" s="51">
        <f>((Calibration!$O$64-1)*F289*Calibration!$B$63/7)</f>
        <v>11.035442586926068</v>
      </c>
      <c r="F289" s="51">
        <f t="shared" si="36"/>
        <v>104.14439184316156</v>
      </c>
      <c r="G289" s="51">
        <f t="shared" si="37"/>
        <v>115.17983443008762</v>
      </c>
      <c r="H289" s="51">
        <f t="shared" si="38"/>
        <v>10</v>
      </c>
      <c r="I289" s="36">
        <f t="shared" si="39"/>
        <v>23.000000000000043</v>
      </c>
    </row>
    <row r="290" spans="1:9">
      <c r="A290" s="36">
        <f t="shared" si="34"/>
        <v>22.900000000000041</v>
      </c>
      <c r="B290" s="51">
        <f>(Calibration!$O$63*Calibration!$B$49*SQRT(I290+Calibration!$F$61-Calibration!$F$63))-((0.32989795*(I290+Calibration!$F$61-Calibration!$F$63))-1.302)</f>
        <v>26.360899347153879</v>
      </c>
      <c r="C290" s="51">
        <f>I290*Calibration!$B$50*Calibration!$O$63*Calibration!$B$71/12500*'Degradation Model'!$B$26/Calibration!$B$61</f>
        <v>27.795568950401869</v>
      </c>
      <c r="D290" s="51">
        <f t="shared" si="35"/>
        <v>76.531947008920241</v>
      </c>
      <c r="E290" s="51">
        <f>((Calibration!$O$64-1)*F290*Calibration!$B$63/7)</f>
        <v>10.902825187916436</v>
      </c>
      <c r="F290" s="51">
        <f t="shared" si="36"/>
        <v>102.89284635607412</v>
      </c>
      <c r="G290" s="51">
        <f t="shared" si="37"/>
        <v>113.79567154399055</v>
      </c>
      <c r="H290" s="51">
        <f t="shared" si="38"/>
        <v>10</v>
      </c>
      <c r="I290" s="36">
        <f t="shared" si="39"/>
        <v>22.900000000000041</v>
      </c>
    </row>
    <row r="291" spans="1:9">
      <c r="A291" s="36">
        <f t="shared" si="34"/>
        <v>22.80000000000004</v>
      </c>
      <c r="B291" s="51">
        <f>(Calibration!$O$63*Calibration!$B$49*SQRT(I291+Calibration!$F$61-Calibration!$F$63))-((0.32989795*(I291+Calibration!$F$61-Calibration!$F$63))-1.302)</f>
        <v>26.322980574268179</v>
      </c>
      <c r="C291" s="51">
        <f>I291*Calibration!$B$50*Calibration!$O$63*Calibration!$B$71/12500*'Degradation Model'!$B$26/Calibration!$B$61</f>
        <v>27.674190920050762</v>
      </c>
      <c r="D291" s="51">
        <f t="shared" si="35"/>
        <v>75.318166705409425</v>
      </c>
      <c r="E291" s="51">
        <f>((Calibration!$O$64-1)*F291*Calibration!$B$63/7)</f>
        <v>10.770191514137014</v>
      </c>
      <c r="F291" s="51">
        <f t="shared" si="36"/>
        <v>101.6411472796776</v>
      </c>
      <c r="G291" s="51">
        <f t="shared" si="37"/>
        <v>112.41133879381461</v>
      </c>
      <c r="H291" s="51">
        <f t="shared" si="38"/>
        <v>10</v>
      </c>
      <c r="I291" s="36">
        <f t="shared" si="39"/>
        <v>22.80000000000004</v>
      </c>
    </row>
    <row r="292" spans="1:9">
      <c r="A292" s="36">
        <f t="shared" si="34"/>
        <v>22.700000000000038</v>
      </c>
      <c r="B292" s="51">
        <f>(Calibration!$O$63*Calibration!$B$49*SQRT(I292+Calibration!$F$61-Calibration!$F$63))-((0.32989795*(I292+Calibration!$F$61-Calibration!$F$63))-1.302)</f>
        <v>26.284907207511203</v>
      </c>
      <c r="C292" s="51">
        <f>I292*Calibration!$B$50*Calibration!$O$63*Calibration!$B$71/12500*'Degradation Model'!$B$26/Calibration!$B$61</f>
        <v>27.552812889699663</v>
      </c>
      <c r="D292" s="51">
        <f t="shared" si="35"/>
        <v>74.104386401898608</v>
      </c>
      <c r="E292" s="51">
        <f>((Calibration!$O$64-1)*F292*Calibration!$B$63/7)</f>
        <v>10.637541459141472</v>
      </c>
      <c r="F292" s="51">
        <f t="shared" si="36"/>
        <v>100.3892936094098</v>
      </c>
      <c r="G292" s="51">
        <f t="shared" si="37"/>
        <v>111.02683506855128</v>
      </c>
      <c r="H292" s="51">
        <f t="shared" si="38"/>
        <v>10</v>
      </c>
      <c r="I292" s="36">
        <f t="shared" si="39"/>
        <v>22.700000000000038</v>
      </c>
    </row>
    <row r="293" spans="1:9">
      <c r="A293" s="36">
        <f t="shared" si="34"/>
        <v>22.600000000000037</v>
      </c>
      <c r="B293" s="51">
        <f>(Calibration!$O$63*Calibration!$B$49*SQRT(I293+Calibration!$F$61-Calibration!$F$63))-((0.32989795*(I293+Calibration!$F$61-Calibration!$F$63))-1.302)</f>
        <v>26.246678231322093</v>
      </c>
      <c r="C293" s="51">
        <f>I293*Calibration!$B$50*Calibration!$O$63*Calibration!$B$71/12500*'Degradation Model'!$B$26/Calibration!$B$61</f>
        <v>27.43143485934856</v>
      </c>
      <c r="D293" s="51">
        <f t="shared" si="35"/>
        <v>72.890606098387792</v>
      </c>
      <c r="E293" s="51">
        <f>((Calibration!$O$64-1)*F293*Calibration!$B$63/7)</f>
        <v>10.504874915318023</v>
      </c>
      <c r="F293" s="51">
        <f t="shared" si="36"/>
        <v>99.137284329709885</v>
      </c>
      <c r="G293" s="51">
        <f t="shared" si="37"/>
        <v>109.64215924502791</v>
      </c>
      <c r="H293" s="51">
        <f t="shared" si="38"/>
        <v>10</v>
      </c>
      <c r="I293" s="36">
        <f t="shared" si="39"/>
        <v>22.600000000000037</v>
      </c>
    </row>
    <row r="294" spans="1:9">
      <c r="A294" s="36">
        <f t="shared" si="34"/>
        <v>22.500000000000036</v>
      </c>
      <c r="B294" s="51">
        <f>(Calibration!$O$63*Calibration!$B$49*SQRT(I294+Calibration!$F$61-Calibration!$F$63))-((0.32989795*(I294+Calibration!$F$61-Calibration!$F$63))-1.302)</f>
        <v>26.208292618972006</v>
      </c>
      <c r="C294" s="51">
        <f>I294*Calibration!$B$50*Calibration!$O$63*Calibration!$B$71/12500*'Degradation Model'!$B$26/Calibration!$B$61</f>
        <v>27.31005682899746</v>
      </c>
      <c r="D294" s="51">
        <f t="shared" si="35"/>
        <v>71.676825794876976</v>
      </c>
      <c r="E294" s="51">
        <f>((Calibration!$O$64-1)*F294*Calibration!$B$63/7)</f>
        <v>10.372191773871496</v>
      </c>
      <c r="F294" s="51">
        <f t="shared" si="36"/>
        <v>97.885118413848986</v>
      </c>
      <c r="G294" s="51">
        <f t="shared" si="37"/>
        <v>108.25731018772048</v>
      </c>
      <c r="H294" s="51">
        <f t="shared" si="38"/>
        <v>10</v>
      </c>
      <c r="I294" s="36">
        <f t="shared" si="39"/>
        <v>22.500000000000036</v>
      </c>
    </row>
    <row r="295" spans="1:9">
      <c r="A295" s="36">
        <f t="shared" si="34"/>
        <v>22.400000000000034</v>
      </c>
      <c r="B295" s="51">
        <f>(Calibration!$O$63*Calibration!$B$49*SQRT(I295+Calibration!$F$61-Calibration!$F$63))-((0.32989795*(I295+Calibration!$F$61-Calibration!$F$63))-1.302)</f>
        <v>26.169749332391355</v>
      </c>
      <c r="C295" s="51">
        <f>I295*Calibration!$B$50*Calibration!$O$63*Calibration!$B$71/12500*'Degradation Model'!$B$26/Calibration!$B$61</f>
        <v>27.188678798646364</v>
      </c>
      <c r="D295" s="51">
        <f t="shared" si="35"/>
        <v>70.463045491366159</v>
      </c>
      <c r="E295" s="51">
        <f>((Calibration!$O$64-1)*F295*Calibration!$B$63/7)</f>
        <v>10.239491924805019</v>
      </c>
      <c r="F295" s="51">
        <f t="shared" si="36"/>
        <v>96.632794823757507</v>
      </c>
      <c r="G295" s="51">
        <f t="shared" si="37"/>
        <v>106.87228674856253</v>
      </c>
      <c r="H295" s="51">
        <f t="shared" si="38"/>
        <v>10</v>
      </c>
      <c r="I295" s="36">
        <f t="shared" si="39"/>
        <v>22.400000000000034</v>
      </c>
    </row>
    <row r="296" spans="1:9">
      <c r="A296" s="36">
        <f t="shared" si="34"/>
        <v>22.300000000000033</v>
      </c>
      <c r="B296" s="51">
        <f>(Calibration!$O$63*Calibration!$B$49*SQRT(I296+Calibration!$F$61-Calibration!$F$63))-((0.32989795*(I296+Calibration!$F$61-Calibration!$F$63))-1.302)</f>
        <v>26.131047321993741</v>
      </c>
      <c r="C296" s="51">
        <f>I296*Calibration!$B$50*Calibration!$O$63*Calibration!$B$71/12500*'Degradation Model'!$B$26/Calibration!$B$61</f>
        <v>27.067300768295258</v>
      </c>
      <c r="D296" s="51">
        <f t="shared" si="35"/>
        <v>69.249265187855343</v>
      </c>
      <c r="E296" s="51">
        <f>((Calibration!$O$64-1)*F296*Calibration!$B$63/7)</f>
        <v>10.106775256901368</v>
      </c>
      <c r="F296" s="51">
        <f t="shared" si="36"/>
        <v>95.380312509849091</v>
      </c>
      <c r="G296" s="51">
        <f t="shared" si="37"/>
        <v>105.48708776675046</v>
      </c>
      <c r="H296" s="51">
        <f t="shared" si="38"/>
        <v>10</v>
      </c>
      <c r="I296" s="36">
        <f t="shared" si="39"/>
        <v>22.300000000000033</v>
      </c>
    </row>
    <row r="297" spans="1:9">
      <c r="A297" s="36">
        <f t="shared" si="34"/>
        <v>22.200000000000031</v>
      </c>
      <c r="B297" s="51">
        <f>(Calibration!$O$63*Calibration!$B$49*SQRT(I297+Calibration!$F$61-Calibration!$F$63))-((0.32989795*(I297+Calibration!$F$61-Calibration!$F$63))-1.302)</f>
        <v>26.092185526496195</v>
      </c>
      <c r="C297" s="51">
        <f>I297*Calibration!$B$50*Calibration!$O$63*Calibration!$B$71/12500*'Degradation Model'!$B$26/Calibration!$B$61</f>
        <v>26.945922737944162</v>
      </c>
      <c r="D297" s="51">
        <f t="shared" si="35"/>
        <v>68.035484884344527</v>
      </c>
      <c r="E297" s="51">
        <f>((Calibration!$O$64-1)*F297*Calibration!$B$63/7)</f>
        <v>9.974041657703907</v>
      </c>
      <c r="F297" s="51">
        <f t="shared" si="36"/>
        <v>94.127670410840722</v>
      </c>
      <c r="G297" s="51">
        <f t="shared" si="37"/>
        <v>104.10171206854463</v>
      </c>
      <c r="H297" s="51">
        <f t="shared" si="38"/>
        <v>10</v>
      </c>
      <c r="I297" s="36">
        <f t="shared" si="39"/>
        <v>22.200000000000031</v>
      </c>
    </row>
    <row r="298" spans="1:9">
      <c r="A298" s="36">
        <f t="shared" si="34"/>
        <v>22.10000000000003</v>
      </c>
      <c r="B298" s="51">
        <f>(Calibration!$O$63*Calibration!$B$49*SQRT(I298+Calibration!$F$61-Calibration!$F$63))-((0.32989795*(I298+Calibration!$F$61-Calibration!$F$63))-1.302)</f>
        <v>26.05316287273595</v>
      </c>
      <c r="C298" s="51">
        <f>I298*Calibration!$B$50*Calibration!$O$63*Calibration!$B$71/12500*'Degradation Model'!$B$26/Calibration!$B$61</f>
        <v>26.824544707593056</v>
      </c>
      <c r="D298" s="51">
        <f t="shared" si="35"/>
        <v>66.82170458083371</v>
      </c>
      <c r="E298" s="51">
        <f>((Calibration!$O$64-1)*F298*Calibration!$B$63/7)</f>
        <v>9.8412910134971963</v>
      </c>
      <c r="F298" s="51">
        <f t="shared" si="36"/>
        <v>92.874867453569664</v>
      </c>
      <c r="G298" s="51">
        <f t="shared" si="37"/>
        <v>102.71615846706686</v>
      </c>
      <c r="H298" s="51">
        <f t="shared" si="38"/>
        <v>10</v>
      </c>
      <c r="I298" s="36">
        <f t="shared" si="39"/>
        <v>22.10000000000003</v>
      </c>
    </row>
    <row r="299" spans="1:9">
      <c r="A299" s="36">
        <f t="shared" si="34"/>
        <v>22.000000000000028</v>
      </c>
      <c r="B299" s="51">
        <f>(Calibration!$O$63*Calibration!$B$49*SQRT(I299+Calibration!$F$61-Calibration!$F$63))-((0.32989795*(I299+Calibration!$F$61-Calibration!$F$63))-1.302)</f>
        <v>26.013978275483389</v>
      </c>
      <c r="C299" s="51">
        <f>I299*Calibration!$B$50*Calibration!$O$63*Calibration!$B$71/12500*'Degradation Model'!$B$26/Calibration!$B$61</f>
        <v>26.703166677241956</v>
      </c>
      <c r="D299" s="51">
        <f t="shared" si="35"/>
        <v>65.607924277322894</v>
      </c>
      <c r="E299" s="51">
        <f>((Calibration!$O$64-1)*F299*Calibration!$B$63/7)</f>
        <v>9.7085232092871454</v>
      </c>
      <c r="F299" s="51">
        <f t="shared" si="36"/>
        <v>91.62190255280629</v>
      </c>
      <c r="G299" s="51">
        <f t="shared" si="37"/>
        <v>101.33042576209344</v>
      </c>
      <c r="H299" s="51">
        <f t="shared" si="38"/>
        <v>10</v>
      </c>
      <c r="I299" s="36">
        <f t="shared" si="39"/>
        <v>22.000000000000028</v>
      </c>
    </row>
    <row r="300" spans="1:9">
      <c r="A300" s="36">
        <f t="shared" si="34"/>
        <v>21.900000000000027</v>
      </c>
      <c r="B300" s="51">
        <f>(Calibration!$O$63*Calibration!$B$49*SQRT(I300+Calibration!$F$61-Calibration!$F$63))-((0.32989795*(I300+Calibration!$F$61-Calibration!$F$63))-1.302)</f>
        <v>25.974630637251209</v>
      </c>
      <c r="C300" s="51">
        <f>I300*Calibration!$B$50*Calibration!$O$63*Calibration!$B$71/12500*'Degradation Model'!$B$26/Calibration!$B$61</f>
        <v>26.581788646890853</v>
      </c>
      <c r="D300" s="51">
        <f t="shared" si="35"/>
        <v>64.394143973812078</v>
      </c>
      <c r="E300" s="51">
        <f>((Calibration!$O$64-1)*F300*Calibration!$B$63/7)</f>
        <v>9.5757381287808077</v>
      </c>
      <c r="F300" s="51">
        <f t="shared" si="36"/>
        <v>90.368774611063287</v>
      </c>
      <c r="G300" s="51">
        <f t="shared" si="37"/>
        <v>99.9445127398441</v>
      </c>
      <c r="H300" s="51">
        <f t="shared" si="38"/>
        <v>10</v>
      </c>
      <c r="I300" s="36">
        <f t="shared" si="39"/>
        <v>21.900000000000027</v>
      </c>
    </row>
    <row r="301" spans="1:9">
      <c r="A301" s="36">
        <f t="shared" ref="A301:A318" si="40">A302+0.1</f>
        <v>21.800000000000026</v>
      </c>
      <c r="B301" s="51">
        <f>(Calibration!$O$63*Calibration!$B$49*SQRT(I301+Calibration!$F$61-Calibration!$F$63))-((0.32989795*(I301+Calibration!$F$61-Calibration!$F$63))-1.302)</f>
        <v>25.935118848099773</v>
      </c>
      <c r="C301" s="51">
        <f>I301*Calibration!$B$50*Calibration!$O$63*Calibration!$B$71/12500*'Degradation Model'!$B$26/Calibration!$B$61</f>
        <v>26.460410616539754</v>
      </c>
      <c r="D301" s="51">
        <f t="shared" si="35"/>
        <v>63.180363670301269</v>
      </c>
      <c r="E301" s="51">
        <f>((Calibration!$O$64-1)*F301*Calibration!$B$63/7)</f>
        <v>9.4429356543657548</v>
      </c>
      <c r="F301" s="51">
        <f t="shared" si="36"/>
        <v>89.115482518401038</v>
      </c>
      <c r="G301" s="51">
        <f t="shared" si="37"/>
        <v>98.558418172766793</v>
      </c>
      <c r="H301" s="51">
        <f t="shared" si="38"/>
        <v>10</v>
      </c>
      <c r="I301" s="36">
        <f t="shared" ref="I301:I318" si="41">I302+0.1</f>
        <v>21.800000000000026</v>
      </c>
    </row>
    <row r="302" spans="1:9">
      <c r="A302" s="36">
        <f t="shared" si="40"/>
        <v>21.700000000000024</v>
      </c>
      <c r="B302" s="51">
        <f>(Calibration!$O$63*Calibration!$B$49*SQRT(I302+Calibration!$F$61-Calibration!$F$63))-((0.32989795*(I302+Calibration!$F$61-Calibration!$F$63))-1.302)</f>
        <v>25.895441785438358</v>
      </c>
      <c r="C302" s="51">
        <f>I302*Calibration!$B$50*Calibration!$O$63*Calibration!$B$71/12500*'Degradation Model'!$B$26/Calibration!$B$61</f>
        <v>26.339032586188651</v>
      </c>
      <c r="D302" s="51">
        <f t="shared" si="35"/>
        <v>61.966583366790459</v>
      </c>
      <c r="E302" s="51">
        <f>((Calibration!$O$64-1)*F302*Calibration!$B$63/7)</f>
        <v>9.3101156670890095</v>
      </c>
      <c r="F302" s="51">
        <f t="shared" si="36"/>
        <v>87.862025152228824</v>
      </c>
      <c r="G302" s="51">
        <f t="shared" si="37"/>
        <v>97.172140819317832</v>
      </c>
      <c r="H302" s="51">
        <f t="shared" si="38"/>
        <v>10</v>
      </c>
      <c r="I302" s="36">
        <f t="shared" si="41"/>
        <v>21.700000000000024</v>
      </c>
    </row>
    <row r="303" spans="1:9">
      <c r="A303" s="36">
        <f t="shared" si="40"/>
        <v>21.600000000000023</v>
      </c>
      <c r="B303" s="51">
        <f>(Calibration!$O$63*Calibration!$B$49*SQRT(I303+Calibration!$F$61-Calibration!$F$63))-((0.32989795*(I303+Calibration!$F$61-Calibration!$F$63))-1.302)</f>
        <v>25.855598313822359</v>
      </c>
      <c r="C303" s="51">
        <f>I303*Calibration!$B$50*Calibration!$O$63*Calibration!$B$71/12500*'Degradation Model'!$B$26/Calibration!$B$61</f>
        <v>26.217654555837552</v>
      </c>
      <c r="D303" s="51">
        <f t="shared" si="35"/>
        <v>60.75280306327965</v>
      </c>
      <c r="E303" s="51">
        <f>((Calibration!$O$64-1)*F303*Calibration!$B$63/7)</f>
        <v>9.1772780466355588</v>
      </c>
      <c r="F303" s="51">
        <f t="shared" si="36"/>
        <v>86.608401377102012</v>
      </c>
      <c r="G303" s="51">
        <f t="shared" si="37"/>
        <v>95.785679423737577</v>
      </c>
      <c r="H303" s="51">
        <f t="shared" si="38"/>
        <v>10</v>
      </c>
      <c r="I303" s="36">
        <f t="shared" si="41"/>
        <v>21.600000000000023</v>
      </c>
    </row>
    <row r="304" spans="1:9">
      <c r="A304" s="36">
        <f t="shared" si="40"/>
        <v>21.500000000000021</v>
      </c>
      <c r="B304" s="51">
        <f>(Calibration!$O$63*Calibration!$B$49*SQRT(I304+Calibration!$F$61-Calibration!$F$63))-((0.32989795*(I304+Calibration!$F$61-Calibration!$F$63))-1.302)</f>
        <v>25.815587284746307</v>
      </c>
      <c r="C304" s="51">
        <f>I304*Calibration!$B$50*Calibration!$O$63*Calibration!$B$71/12500*'Degradation Model'!$B$26/Calibration!$B$61</f>
        <v>26.096276525486452</v>
      </c>
      <c r="D304" s="51">
        <f t="shared" si="35"/>
        <v>59.539022759768841</v>
      </c>
      <c r="E304" s="51">
        <f>((Calibration!$O$64-1)*F304*Calibration!$B$63/7)</f>
        <v>9.0444226713064211</v>
      </c>
      <c r="F304" s="51">
        <f t="shared" si="36"/>
        <v>85.354610044515141</v>
      </c>
      <c r="G304" s="51">
        <f t="shared" si="37"/>
        <v>94.399032715821562</v>
      </c>
      <c r="H304" s="51">
        <f t="shared" si="38"/>
        <v>10</v>
      </c>
      <c r="I304" s="36">
        <f t="shared" si="41"/>
        <v>21.500000000000021</v>
      </c>
    </row>
    <row r="305" spans="1:9">
      <c r="A305" s="36">
        <f t="shared" si="40"/>
        <v>21.40000000000002</v>
      </c>
      <c r="B305" s="51">
        <f>(Calibration!$O$63*Calibration!$B$49*SQRT(I305+Calibration!$F$61-Calibration!$F$63))-((0.32989795*(I305+Calibration!$F$61-Calibration!$F$63))-1.302)</f>
        <v>25.77540753643256</v>
      </c>
      <c r="C305" s="51">
        <f>I305*Calibration!$B$50*Calibration!$O$63*Calibration!$B$71/12500*'Degradation Model'!$B$26/Calibration!$B$61</f>
        <v>25.974898495135349</v>
      </c>
      <c r="D305" s="51">
        <f t="shared" si="35"/>
        <v>58.325242456258032</v>
      </c>
      <c r="E305" s="51">
        <f>((Calibration!$O$64-1)*F305*Calibration!$B$63/7)</f>
        <v>8.9115494179962642</v>
      </c>
      <c r="F305" s="51">
        <f t="shared" si="36"/>
        <v>84.100649992690592</v>
      </c>
      <c r="G305" s="51">
        <f t="shared" si="37"/>
        <v>93.012199410686861</v>
      </c>
      <c r="H305" s="51">
        <f t="shared" si="38"/>
        <v>10</v>
      </c>
      <c r="I305" s="36">
        <f t="shared" si="41"/>
        <v>21.40000000000002</v>
      </c>
    </row>
    <row r="306" spans="1:9">
      <c r="A306" s="36">
        <f t="shared" si="40"/>
        <v>21.300000000000018</v>
      </c>
      <c r="B306" s="51">
        <f>(Calibration!$O$63*Calibration!$B$49*SQRT(I306+Calibration!$F$61-Calibration!$F$63))-((0.32989795*(I306+Calibration!$F$61-Calibration!$F$63))-1.302)</f>
        <v>25.735057893615569</v>
      </c>
      <c r="C306" s="51">
        <f>I306*Calibration!$B$50*Calibration!$O$63*Calibration!$B$71/12500*'Degradation Model'!$B$26/Calibration!$B$61</f>
        <v>25.85352046478425</v>
      </c>
      <c r="D306" s="51">
        <f t="shared" si="35"/>
        <v>57.111462152747222</v>
      </c>
      <c r="E306" s="51">
        <f>((Calibration!$O$64-1)*F306*Calibration!$B$63/7)</f>
        <v>8.7786581621705313</v>
      </c>
      <c r="F306" s="51">
        <f t="shared" si="36"/>
        <v>82.846520046362798</v>
      </c>
      <c r="G306" s="51">
        <f t="shared" si="37"/>
        <v>91.625178208533328</v>
      </c>
      <c r="H306" s="51">
        <f t="shared" si="38"/>
        <v>10</v>
      </c>
      <c r="I306" s="36">
        <f t="shared" si="41"/>
        <v>21.300000000000018</v>
      </c>
    </row>
    <row r="307" spans="1:9">
      <c r="A307" s="36">
        <f t="shared" si="40"/>
        <v>21.200000000000017</v>
      </c>
      <c r="B307" s="51">
        <f>(Calibration!$O$63*Calibration!$B$49*SQRT(I307+Calibration!$F$61-Calibration!$F$63))-((0.32989795*(I307+Calibration!$F$61-Calibration!$F$63))-1.302)</f>
        <v>25.694537167321624</v>
      </c>
      <c r="C307" s="51">
        <f>I307*Calibration!$B$50*Calibration!$O$63*Calibration!$B$71/12500*'Degradation Model'!$B$26/Calibration!$B$61</f>
        <v>25.732142434433143</v>
      </c>
      <c r="D307" s="51">
        <f t="shared" si="35"/>
        <v>55.897681849236413</v>
      </c>
      <c r="E307" s="51">
        <f>((Calibration!$O$64-1)*F307*Calibration!$B$63/7)</f>
        <v>8.6457487778421065</v>
      </c>
      <c r="F307" s="51">
        <f t="shared" si="36"/>
        <v>81.592219016558033</v>
      </c>
      <c r="G307" s="51">
        <f t="shared" si="37"/>
        <v>90.237967794400134</v>
      </c>
      <c r="H307" s="51">
        <f t="shared" si="38"/>
        <v>10</v>
      </c>
      <c r="I307" s="36">
        <f t="shared" si="41"/>
        <v>21.200000000000017</v>
      </c>
    </row>
    <row r="308" spans="1:9">
      <c r="A308" s="36">
        <f t="shared" si="40"/>
        <v>21.100000000000016</v>
      </c>
      <c r="B308" s="51">
        <f>(Calibration!$O$63*Calibration!$B$49*SQRT(I308+Calibration!$F$61-Calibration!$F$63))-((0.32989795*(I308+Calibration!$F$61-Calibration!$F$63))-1.302)</f>
        <v>25.653844154643991</v>
      </c>
      <c r="C308" s="51">
        <f>I308*Calibration!$B$50*Calibration!$O$63*Calibration!$B$71/12500*'Degradation Model'!$B$26/Calibration!$B$61</f>
        <v>25.61076440408204</v>
      </c>
      <c r="D308" s="51">
        <f t="shared" si="35"/>
        <v>54.796714051423592</v>
      </c>
      <c r="E308" s="51">
        <f>((Calibration!$O$64-1)*F308*Calibration!$B$63/7)</f>
        <v>8.524775078683307</v>
      </c>
      <c r="F308" s="51">
        <f t="shared" si="36"/>
        <v>80.450558206067583</v>
      </c>
      <c r="G308" s="51">
        <f t="shared" si="37"/>
        <v>88.975333284750889</v>
      </c>
      <c r="H308" s="51">
        <f t="shared" si="38"/>
        <v>11.024666715249111</v>
      </c>
      <c r="I308" s="36">
        <f t="shared" si="41"/>
        <v>21.100000000000016</v>
      </c>
    </row>
    <row r="309" spans="1:9">
      <c r="A309" s="36">
        <f t="shared" si="40"/>
        <v>21.000000000000014</v>
      </c>
      <c r="B309" s="51">
        <f>(Calibration!$O$63*Calibration!$B$49*SQRT(I309+Calibration!$F$61-Calibration!$F$63))-((0.32989795*(I309+Calibration!$F$61-Calibration!$F$63))-1.302)</f>
        <v>25.612977638513222</v>
      </c>
      <c r="C309" s="51">
        <f>I309*Calibration!$B$50*Calibration!$O$63*Calibration!$B$71/12500*'Degradation Model'!$B$26/Calibration!$B$61</f>
        <v>25.489386373730941</v>
      </c>
      <c r="D309" s="51">
        <f t="shared" si="35"/>
        <v>53.799577559220587</v>
      </c>
      <c r="E309" s="51">
        <f>((Calibration!$O$64-1)*F309*Calibration!$B$63/7)</f>
        <v>8.414785261653364</v>
      </c>
      <c r="F309" s="51">
        <f t="shared" si="36"/>
        <v>79.412555197733809</v>
      </c>
      <c r="G309" s="51">
        <f t="shared" si="37"/>
        <v>87.827340459387173</v>
      </c>
      <c r="H309" s="51">
        <f t="shared" si="38"/>
        <v>12.172659540612827</v>
      </c>
      <c r="I309" s="36">
        <f t="shared" si="41"/>
        <v>21.000000000000014</v>
      </c>
    </row>
    <row r="310" spans="1:9">
      <c r="A310" s="36">
        <f t="shared" si="40"/>
        <v>20.900000000000013</v>
      </c>
      <c r="B310" s="51">
        <f>(Calibration!$O$63*Calibration!$B$49*SQRT(I310+Calibration!$F$61-Calibration!$F$63))-((0.32989795*(I310+Calibration!$F$61-Calibration!$F$63))-1.302)</f>
        <v>25.571936387462596</v>
      </c>
      <c r="C310" s="51">
        <f>I310*Calibration!$B$50*Calibration!$O$63*Calibration!$B$71/12500*'Degradation Model'!$B$26/Calibration!$B$61</f>
        <v>25.368008343379842</v>
      </c>
      <c r="D310" s="51">
        <f t="shared" si="35"/>
        <v>52.882306656212521</v>
      </c>
      <c r="E310" s="51">
        <f>((Calibration!$O$64-1)*F310*Calibration!$B$63/7)</f>
        <v>8.3132397192645406</v>
      </c>
      <c r="F310" s="51">
        <f t="shared" si="36"/>
        <v>78.45424304367512</v>
      </c>
      <c r="G310" s="51">
        <f t="shared" si="37"/>
        <v>86.767482762939665</v>
      </c>
      <c r="H310" s="51">
        <f t="shared" si="38"/>
        <v>13.232517237060335</v>
      </c>
      <c r="I310" s="36">
        <f t="shared" si="41"/>
        <v>20.900000000000013</v>
      </c>
    </row>
    <row r="311" spans="1:9">
      <c r="A311" s="36">
        <f t="shared" si="40"/>
        <v>20.800000000000011</v>
      </c>
      <c r="B311" s="51">
        <f>(Calibration!$O$63*Calibration!$B$49*SQRT(I311+Calibration!$F$61-Calibration!$F$63))-((0.32989795*(I311+Calibration!$F$61-Calibration!$F$63))-1.302)</f>
        <v>25.530719155388567</v>
      </c>
      <c r="C311" s="51">
        <f>I311*Calibration!$B$50*Calibration!$O$63*Calibration!$B$71/12500*'Degradation Model'!$B$26/Calibration!$B$61</f>
        <v>25.246630313028739</v>
      </c>
      <c r="D311" s="51">
        <f t="shared" si="35"/>
        <v>52.028853420366936</v>
      </c>
      <c r="E311" s="51">
        <f>((Calibration!$O$64-1)*F311*Calibration!$B$63/7)</f>
        <v>8.2184378349939617</v>
      </c>
      <c r="F311" s="51">
        <f t="shared" si="36"/>
        <v>77.55957257575551</v>
      </c>
      <c r="G311" s="51">
        <f t="shared" si="37"/>
        <v>85.778010410749474</v>
      </c>
      <c r="H311" s="51">
        <f t="shared" si="38"/>
        <v>14.221989589250526</v>
      </c>
      <c r="I311" s="36">
        <f t="shared" si="41"/>
        <v>20.800000000000011</v>
      </c>
    </row>
    <row r="312" spans="1:9">
      <c r="A312" s="36">
        <f t="shared" si="40"/>
        <v>20.70000000000001</v>
      </c>
      <c r="B312" s="51">
        <f>(Calibration!$O$63*Calibration!$B$49*SQRT(I312+Calibration!$F$61-Calibration!$F$63))-((0.32989795*(I312+Calibration!$F$61-Calibration!$F$63))-1.302)</f>
        <v>25.489324681306055</v>
      </c>
      <c r="C312" s="51">
        <f>I312*Calibration!$B$50*Calibration!$O$63*Calibration!$B$71/12500*'Degradation Model'!$B$26/Calibration!$B$61</f>
        <v>25.125252282677639</v>
      </c>
      <c r="D312" s="51">
        <f t="shared" si="35"/>
        <v>51.227870123910144</v>
      </c>
      <c r="E312" s="51">
        <f>((Calibration!$O$64-1)*F312*Calibration!$B$63/7)</f>
        <v>8.1291770369925782</v>
      </c>
      <c r="F312" s="51">
        <f t="shared" si="36"/>
        <v>76.717194805216195</v>
      </c>
      <c r="G312" s="51">
        <f t="shared" si="37"/>
        <v>84.846371842208768</v>
      </c>
      <c r="H312" s="51">
        <f t="shared" si="38"/>
        <v>15.153628157791232</v>
      </c>
      <c r="I312" s="36">
        <f t="shared" si="41"/>
        <v>20.70000000000001</v>
      </c>
    </row>
    <row r="313" spans="1:9">
      <c r="A313" s="36">
        <f t="shared" si="40"/>
        <v>20.600000000000009</v>
      </c>
      <c r="B313" s="51">
        <f>(Calibration!$O$63*Calibration!$B$49*SQRT(I313+Calibration!$F$61-Calibration!$F$63))-((0.32989795*(I313+Calibration!$F$61-Calibration!$F$63))-1.302)</f>
        <v>25.447751689098389</v>
      </c>
      <c r="C313" s="51">
        <f>I313*Calibration!$B$50*Calibration!$O$63*Calibration!$B$71/12500*'Degradation Model'!$B$26/Calibration!$B$61</f>
        <v>25.003874252326536</v>
      </c>
      <c r="D313" s="51">
        <f t="shared" si="35"/>
        <v>50.470992793042555</v>
      </c>
      <c r="E313" s="51">
        <f>((Calibration!$O$64-1)*F313*Calibration!$B$63/7)</f>
        <v>8.0445709190550989</v>
      </c>
      <c r="F313" s="51">
        <f t="shared" si="36"/>
        <v>75.918744482140937</v>
      </c>
      <c r="G313" s="51">
        <f t="shared" si="37"/>
        <v>83.963315401196041</v>
      </c>
      <c r="H313" s="51">
        <f t="shared" si="38"/>
        <v>16.036684598803959</v>
      </c>
      <c r="I313" s="36">
        <f t="shared" si="41"/>
        <v>20.600000000000009</v>
      </c>
    </row>
    <row r="314" spans="1:9">
      <c r="A314" s="36">
        <f t="shared" si="40"/>
        <v>20.500000000000007</v>
      </c>
      <c r="B314" s="51">
        <f>(Calibration!$O$63*Calibration!$B$49*SQRT(I314+Calibration!$F$61-Calibration!$F$63))-((0.32989795*(I314+Calibration!$F$61-Calibration!$F$63))-1.302)</f>
        <v>25.40599888726193</v>
      </c>
      <c r="C314" s="51">
        <f>I314*Calibration!$B$50*Calibration!$O$63*Calibration!$B$71/12500*'Degradation Model'!$B$26/Calibration!$B$61</f>
        <v>24.882496221975437</v>
      </c>
      <c r="D314" s="51">
        <f t="shared" si="35"/>
        <v>49.751852139862578</v>
      </c>
      <c r="E314" s="51">
        <f>((Calibration!$O$64-1)*F314*Calibration!$B$63/7)</f>
        <v>7.9639444360636107</v>
      </c>
      <c r="F314" s="51">
        <f t="shared" si="36"/>
        <v>75.157851027124508</v>
      </c>
      <c r="G314" s="51">
        <f t="shared" si="37"/>
        <v>83.121795463188121</v>
      </c>
      <c r="H314" s="51">
        <f t="shared" si="38"/>
        <v>16.878204536811879</v>
      </c>
      <c r="I314" s="36">
        <f t="shared" si="41"/>
        <v>20.500000000000007</v>
      </c>
    </row>
    <row r="315" spans="1:9">
      <c r="A315" s="36">
        <f t="shared" si="40"/>
        <v>20.400000000000006</v>
      </c>
      <c r="B315" s="51">
        <f>(Calibration!$O$63*Calibration!$B$49*SQRT(I315+Calibration!$F$61-Calibration!$F$63))-((0.32989795*(I315+Calibration!$F$61-Calibration!$F$63))-1.302)</f>
        <v>25.364064968645032</v>
      </c>
      <c r="C315" s="51">
        <f>I315*Calibration!$B$50*Calibration!$O$63*Calibration!$B$71/12500*'Degradation Model'!$B$26/Calibration!$B$61</f>
        <v>24.76111819162433</v>
      </c>
      <c r="D315" s="51">
        <f t="shared" si="35"/>
        <v>49.065468342789252</v>
      </c>
      <c r="E315" s="51">
        <f>((Calibration!$O$64-1)*F315*Calibration!$B$63/7)</f>
        <v>7.8867697731336595</v>
      </c>
      <c r="F315" s="51">
        <f t="shared" si="36"/>
        <v>74.429533311434284</v>
      </c>
      <c r="G315" s="51">
        <f t="shared" si="37"/>
        <v>82.316303084567949</v>
      </c>
      <c r="H315" s="51">
        <f t="shared" si="38"/>
        <v>17.683696915432051</v>
      </c>
      <c r="I315" s="36">
        <f t="shared" si="41"/>
        <v>20.400000000000006</v>
      </c>
    </row>
    <row r="316" spans="1:9">
      <c r="A316" s="36">
        <f t="shared" si="40"/>
        <v>20.300000000000004</v>
      </c>
      <c r="B316" s="51">
        <f>(Calibration!$O$63*Calibration!$B$49*SQRT(I316+Calibration!$F$61-Calibration!$F$63))-((0.32989795*(I316+Calibration!$F$61-Calibration!$F$63))-1.302)</f>
        <v>25.321948610181359</v>
      </c>
      <c r="C316" s="51">
        <f>I316*Calibration!$B$50*Calibration!$O$63*Calibration!$B$71/12500*'Degradation Model'!$B$26/Calibration!$B$61</f>
        <v>24.639740161273235</v>
      </c>
      <c r="D316" s="51">
        <f t="shared" si="35"/>
        <v>48.407862432656664</v>
      </c>
      <c r="E316" s="51">
        <f>((Calibration!$O$64-1)*F316*Calibration!$B$63/7)</f>
        <v>7.8126251669265736</v>
      </c>
      <c r="F316" s="51">
        <f t="shared" si="36"/>
        <v>73.729811042838023</v>
      </c>
      <c r="G316" s="51">
        <f t="shared" si="37"/>
        <v>81.542436209764602</v>
      </c>
      <c r="H316" s="51">
        <f t="shared" si="38"/>
        <v>18.457563790235398</v>
      </c>
      <c r="I316" s="36">
        <f t="shared" si="41"/>
        <v>20.300000000000004</v>
      </c>
    </row>
    <row r="317" spans="1:9">
      <c r="A317" s="36">
        <f t="shared" si="40"/>
        <v>20.200000000000003</v>
      </c>
      <c r="B317" s="51">
        <f>(Calibration!$O$63*Calibration!$B$49*SQRT(I317+Calibration!$F$61-Calibration!$F$63))-((0.32989795*(I317+Calibration!$F$61-Calibration!$F$63))-1.302)</f>
        <v>25.279648472617218</v>
      </c>
      <c r="C317" s="51">
        <f>I317*Calibration!$B$50*Calibration!$O$63*Calibration!$B$71/12500*'Degradation Model'!$B$26/Calibration!$B$61</f>
        <v>24.518362130922128</v>
      </c>
      <c r="D317" s="51">
        <f t="shared" si="35"/>
        <v>47.775796705510281</v>
      </c>
      <c r="E317" s="51">
        <f>((Calibration!$O$64-1)*F317*Calibration!$B$63/7)</f>
        <v>7.7411673990056373</v>
      </c>
      <c r="F317" s="51">
        <f t="shared" si="36"/>
        <v>73.055445178127499</v>
      </c>
      <c r="G317" s="51">
        <f t="shared" si="37"/>
        <v>80.796612577133132</v>
      </c>
      <c r="H317" s="51">
        <f t="shared" si="38"/>
        <v>19.203387422866868</v>
      </c>
      <c r="I317" s="36">
        <f t="shared" si="41"/>
        <v>20.200000000000003</v>
      </c>
    </row>
    <row r="318" spans="1:9">
      <c r="A318" s="36">
        <f t="shared" si="40"/>
        <v>20.100000000000001</v>
      </c>
      <c r="B318" s="51">
        <f>(Calibration!$O$63*Calibration!$B$49*SQRT(I318+Calibration!$F$61-Calibration!$F$63))-((0.32989795*(I318+Calibration!$F$61-Calibration!$F$63))-1.302)</f>
        <v>25.237163200233006</v>
      </c>
      <c r="C318" s="51">
        <f>I318*Calibration!$B$50*Calibration!$O$63*Calibration!$B$71/12500*'Degradation Model'!$B$26/Calibration!$B$61</f>
        <v>24.396984100571029</v>
      </c>
      <c r="D318" s="51">
        <f t="shared" si="35"/>
        <v>47.166595503045563</v>
      </c>
      <c r="E318" s="51">
        <f>((Calibration!$O$64-1)*F318*Calibration!$B$63/7)</f>
        <v>7.6721128051807295</v>
      </c>
      <c r="F318" s="51">
        <f t="shared" si="36"/>
        <v>72.403758703278569</v>
      </c>
      <c r="G318" s="51">
        <f t="shared" si="37"/>
        <v>80.075871508459301</v>
      </c>
      <c r="H318" s="51">
        <f t="shared" si="38"/>
        <v>19.924128491540699</v>
      </c>
      <c r="I318" s="36">
        <f t="shared" si="41"/>
        <v>20.100000000000001</v>
      </c>
    </row>
    <row r="319" spans="1:9">
      <c r="A319" s="25">
        <v>20</v>
      </c>
      <c r="B319" s="51">
        <f>(Calibration!$O$63*Calibration!$B$49*SQRT(I319+Calibration!$F$61-Calibration!$F$63))-((0.32989795*(I319+Calibration!$F$61-Calibration!$F$63))-1.302)</f>
        <v>25.194491420558336</v>
      </c>
      <c r="C319" s="51">
        <f>I319*Calibration!$B$50*Calibration!$O$63*Calibration!$B$71/12500*'Degradation Model'!$B$26/Calibration!$B$61</f>
        <v>24.275606070219933</v>
      </c>
      <c r="D319" s="51">
        <f t="shared" si="35"/>
        <v>46.578017965009018</v>
      </c>
      <c r="E319" s="51">
        <f>((Calibration!$O$64-1)*F319*Calibration!$B$63/7)</f>
        <v>7.6052237919525458</v>
      </c>
      <c r="F319" s="51">
        <f t="shared" si="36"/>
        <v>71.772509385567361</v>
      </c>
      <c r="G319" s="51">
        <f t="shared" si="37"/>
        <v>79.3777331775199</v>
      </c>
      <c r="H319" s="51">
        <f t="shared" si="38"/>
        <v>20.6222668224801</v>
      </c>
      <c r="I319" s="25">
        <v>20</v>
      </c>
    </row>
    <row r="320" spans="1:9">
      <c r="A320" s="25">
        <f t="shared" ref="A320:A351" si="42">A319-0.1</f>
        <v>19.899999999999999</v>
      </c>
      <c r="B320" s="51">
        <f>(Calibration!$O$63*Calibration!$B$49*SQRT(I320+Calibration!$F$61-Calibration!$F$63))-((0.32989795*(I320+Calibration!$F$61-Calibration!$F$63))-1.302)</f>
        <v>25.151631744080845</v>
      </c>
      <c r="C320" s="51">
        <f>I320*Calibration!$B$50*Calibration!$O$63*Calibration!$B$71/12500*'Degradation Model'!$B$26/Calibration!$B$61</f>
        <v>24.154228039868826</v>
      </c>
      <c r="D320" s="51">
        <f t="shared" si="35"/>
        <v>46.008165482057805</v>
      </c>
      <c r="E320" s="51">
        <f>((Calibration!$O$64-1)*F320*Calibration!$B$63/7)</f>
        <v>7.5402990299176427</v>
      </c>
      <c r="F320" s="51">
        <f t="shared" si="36"/>
        <v>71.15979722613865</v>
      </c>
      <c r="G320" s="51">
        <f t="shared" si="37"/>
        <v>78.700096256056298</v>
      </c>
      <c r="H320" s="51">
        <f t="shared" si="38"/>
        <v>21.299903743943702</v>
      </c>
      <c r="I320" s="25">
        <f t="shared" ref="I320:I351" si="43">I319-0.1</f>
        <v>19.899999999999999</v>
      </c>
    </row>
    <row r="321" spans="1:9">
      <c r="A321" s="25">
        <f t="shared" si="42"/>
        <v>19.799999999999997</v>
      </c>
      <c r="B321" s="51">
        <f>(Calibration!$O$63*Calibration!$B$49*SQRT(I321+Calibration!$F$61-Calibration!$F$63))-((0.32989795*(I321+Calibration!$F$61-Calibration!$F$63))-1.302)</f>
        <v>25.108582763948498</v>
      </c>
      <c r="C321" s="51">
        <f>I321*Calibration!$B$50*Calibration!$O$63*Calibration!$B$71/12500*'Degradation Model'!$B$26/Calibration!$B$61</f>
        <v>24.03285000951773</v>
      </c>
      <c r="D321" s="51">
        <f t="shared" si="35"/>
        <v>45.455412964842999</v>
      </c>
      <c r="E321" s="51">
        <f>((Calibration!$O$64-1)*F321*Calibration!$B$63/7)</f>
        <v>7.4771661708091006</v>
      </c>
      <c r="F321" s="51">
        <f t="shared" si="36"/>
        <v>70.563995728791497</v>
      </c>
      <c r="G321" s="51">
        <f t="shared" si="37"/>
        <v>78.041161899600596</v>
      </c>
      <c r="H321" s="51">
        <f t="shared" si="38"/>
        <v>21.958838100399404</v>
      </c>
      <c r="I321" s="25">
        <f t="shared" si="43"/>
        <v>19.799999999999997</v>
      </c>
    </row>
    <row r="322" spans="1:9">
      <c r="A322" s="25">
        <f t="shared" si="42"/>
        <v>19.699999999999996</v>
      </c>
      <c r="B322" s="51">
        <f>(Calibration!$O$63*Calibration!$B$49*SQRT(I322+Calibration!$F$61-Calibration!$F$63))-((0.32989795*(I322+Calibration!$F$61-Calibration!$F$63))-1.302)</f>
        <v>25.065343055665089</v>
      </c>
      <c r="C322" s="51">
        <f>I322*Calibration!$B$50*Calibration!$O$63*Calibration!$B$71/12500*'Degradation Model'!$B$26/Calibration!$B$61</f>
        <v>23.911471979166624</v>
      </c>
      <c r="D322" s="51">
        <f t="shared" si="35"/>
        <v>44.918356856574057</v>
      </c>
      <c r="E322" s="51">
        <f>((Calibration!$O$64-1)*F322*Calibration!$B$63/7)</f>
        <v>7.4156763387244231</v>
      </c>
      <c r="F322" s="51">
        <f t="shared" si="36"/>
        <v>69.983699912239146</v>
      </c>
      <c r="G322" s="51">
        <f t="shared" si="37"/>
        <v>77.39937625096357</v>
      </c>
      <c r="H322" s="51">
        <f t="shared" si="38"/>
        <v>22.60062374903643</v>
      </c>
      <c r="I322" s="25">
        <f t="shared" si="43"/>
        <v>19.699999999999996</v>
      </c>
    </row>
    <row r="323" spans="1:9">
      <c r="A323" s="25">
        <f t="shared" si="42"/>
        <v>19.599999999999994</v>
      </c>
      <c r="B323" s="51">
        <f>(Calibration!$O$63*Calibration!$B$49*SQRT(I323+Calibration!$F$61-Calibration!$F$63))-((0.32989795*(I323+Calibration!$F$61-Calibration!$F$63))-1.302)</f>
        <v>25.021911176778897</v>
      </c>
      <c r="C323" s="51">
        <f>I323*Calibration!$B$50*Calibration!$O$63*Calibration!$B$71/12500*'Degradation Model'!$B$26/Calibration!$B$61</f>
        <v>23.790093948815525</v>
      </c>
      <c r="D323" s="51">
        <f t="shared" si="35"/>
        <v>44.395775168143579</v>
      </c>
      <c r="E323" s="51">
        <f>((Calibration!$O$64-1)*F323*Calibration!$B$63/7)</f>
        <v>7.3556998952981569</v>
      </c>
      <c r="F323" s="51">
        <f t="shared" si="36"/>
        <v>69.417686344922473</v>
      </c>
      <c r="G323" s="51">
        <f t="shared" si="37"/>
        <v>76.773386240220631</v>
      </c>
      <c r="H323" s="51">
        <f t="shared" si="38"/>
        <v>23.226613759779369</v>
      </c>
      <c r="I323" s="25">
        <f t="shared" si="43"/>
        <v>19.599999999999994</v>
      </c>
    </row>
    <row r="324" spans="1:9">
      <c r="A324" s="25">
        <f t="shared" si="42"/>
        <v>19.499999999999993</v>
      </c>
      <c r="B324" s="51">
        <f>(Calibration!$O$63*Calibration!$B$49*SQRT(I324+Calibration!$F$61-Calibration!$F$63))-((0.32989795*(I324+Calibration!$F$61-Calibration!$F$63))-1.302)</f>
        <v>24.978285666564211</v>
      </c>
      <c r="C324" s="51">
        <f>I324*Calibration!$B$50*Calibration!$O$63*Calibration!$B$71/12500*'Degradation Model'!$B$26/Calibration!$B$61</f>
        <v>23.668715918464418</v>
      </c>
      <c r="D324" s="51">
        <f t="shared" si="35"/>
        <v>43.886596309245867</v>
      </c>
      <c r="E324" s="51">
        <f>((Calibration!$O$64-1)*F324*Calibration!$B$63/7)</f>
        <v>7.2971231369228349</v>
      </c>
      <c r="F324" s="51">
        <f t="shared" si="36"/>
        <v>68.864881975810079</v>
      </c>
      <c r="G324" s="51">
        <f t="shared" si="37"/>
        <v>76.162005112732913</v>
      </c>
      <c r="H324" s="51">
        <f t="shared" si="38"/>
        <v>23.837994887267087</v>
      </c>
      <c r="I324" s="25">
        <f t="shared" si="43"/>
        <v>19.499999999999993</v>
      </c>
    </row>
    <row r="325" spans="1:9">
      <c r="A325" s="25">
        <f t="shared" si="42"/>
        <v>19.399999999999991</v>
      </c>
      <c r="B325" s="51">
        <f>(Calibration!$O$63*Calibration!$B$49*SQRT(I325+Calibration!$F$61-Calibration!$F$63))-((0.32989795*(I325+Calibration!$F$61-Calibration!$F$63))-1.302)</f>
        <v>24.934465045695614</v>
      </c>
      <c r="C325" s="51">
        <f>I325*Calibration!$B$50*Calibration!$O$63*Calibration!$B$71/12500*'Degradation Model'!$B$26/Calibration!$B$61</f>
        <v>23.547337888113322</v>
      </c>
      <c r="D325" s="51">
        <f t="shared" si="35"/>
        <v>43.389874463393582</v>
      </c>
      <c r="E325" s="51">
        <f>((Calibration!$O$64-1)*F325*Calibration!$B$63/7)</f>
        <v>7.2398456853796258</v>
      </c>
      <c r="F325" s="51">
        <f t="shared" si="36"/>
        <v>68.324339509089199</v>
      </c>
      <c r="G325" s="51">
        <f t="shared" si="37"/>
        <v>75.56418519446882</v>
      </c>
      <c r="H325" s="51">
        <f t="shared" si="38"/>
        <v>24.43581480553118</v>
      </c>
      <c r="I325" s="25">
        <f t="shared" si="43"/>
        <v>19.399999999999991</v>
      </c>
    </row>
    <row r="326" spans="1:9">
      <c r="A326" s="25">
        <f t="shared" si="42"/>
        <v>19.29999999999999</v>
      </c>
      <c r="B326" s="51">
        <f>(Calibration!$O$63*Calibration!$B$49*SQRT(I326+Calibration!$F$61-Calibration!$F$63))-((0.32989795*(I326+Calibration!$F$61-Calibration!$F$63))-1.302)</f>
        <v>24.890447815914648</v>
      </c>
      <c r="C326" s="51">
        <f>I326*Calibration!$B$50*Calibration!$O$63*Calibration!$B$71/12500*'Degradation Model'!$B$26/Calibration!$B$61</f>
        <v>23.425959857762219</v>
      </c>
      <c r="D326" s="51">
        <f t="shared" si="35"/>
        <v>42.904769905046159</v>
      </c>
      <c r="E326" s="51">
        <f>((Calibration!$O$64-1)*F326*Calibration!$B$63/7)</f>
        <v>7.1837784021487048</v>
      </c>
      <c r="F326" s="51">
        <f t="shared" si="36"/>
        <v>67.795217720960807</v>
      </c>
      <c r="G326" s="51">
        <f t="shared" si="37"/>
        <v>74.978996123109511</v>
      </c>
      <c r="H326" s="51">
        <f t="shared" si="38"/>
        <v>25.021003876890489</v>
      </c>
      <c r="I326" s="25">
        <f t="shared" si="43"/>
        <v>19.29999999999999</v>
      </c>
    </row>
    <row r="327" spans="1:9">
      <c r="A327" s="25">
        <f t="shared" si="42"/>
        <v>19.199999999999989</v>
      </c>
      <c r="B327" s="51">
        <f>(Calibration!$O$63*Calibration!$B$49*SQRT(I327+Calibration!$F$61-Calibration!$F$63))-((0.32989795*(I327+Calibration!$F$61-Calibration!$F$63))-1.302)</f>
        <v>24.846232459688864</v>
      </c>
      <c r="C327" s="51">
        <f>I327*Calibration!$B$50*Calibration!$O$63*Calibration!$B$71/12500*'Degradation Model'!$B$26/Calibration!$B$61</f>
        <v>23.30458182741112</v>
      </c>
      <c r="D327" s="51">
        <f t="shared" si="35"/>
        <v>42.430533100131875</v>
      </c>
      <c r="E327" s="51">
        <f>((Calibration!$O$64-1)*F327*Calibration!$B$63/7)</f>
        <v>7.1288417036182157</v>
      </c>
      <c r="F327" s="51">
        <f t="shared" si="36"/>
        <v>67.276765559820745</v>
      </c>
      <c r="G327" s="51">
        <f t="shared" si="37"/>
        <v>74.405607263438966</v>
      </c>
      <c r="H327" s="51">
        <f t="shared" si="38"/>
        <v>25.594392736561034</v>
      </c>
      <c r="I327" s="25">
        <f t="shared" si="43"/>
        <v>19.199999999999989</v>
      </c>
    </row>
    <row r="328" spans="1:9">
      <c r="A328" s="25">
        <f t="shared" si="42"/>
        <v>19.099999999999987</v>
      </c>
      <c r="B328" s="51">
        <f>(Calibration!$O$63*Calibration!$B$49*SQRT(I328+Calibration!$F$61-Calibration!$F$63))-((0.32989795*(I328+Calibration!$F$61-Calibration!$F$63))-1.302)</f>
        <v>24.801817439862919</v>
      </c>
      <c r="C328" s="51">
        <f>I328*Calibration!$B$50*Calibration!$O$63*Calibration!$B$71/12500*'Degradation Model'!$B$26/Calibration!$B$61</f>
        <v>23.183203797060017</v>
      </c>
      <c r="D328" s="51">
        <f t="shared" si="35"/>
        <v>41.966491738810326</v>
      </c>
      <c r="E328" s="51">
        <f>((Calibration!$O$64-1)*F328*Calibration!$B$63/7)</f>
        <v>7.0749641870010995</v>
      </c>
      <c r="F328" s="51">
        <f t="shared" si="36"/>
        <v>66.768309178673249</v>
      </c>
      <c r="G328" s="51">
        <f t="shared" si="37"/>
        <v>73.843273365674349</v>
      </c>
      <c r="H328" s="51">
        <f t="shared" si="38"/>
        <v>26.156726634325651</v>
      </c>
      <c r="I328" s="25">
        <f t="shared" si="43"/>
        <v>19.099999999999987</v>
      </c>
    </row>
    <row r="329" spans="1:9">
      <c r="A329" s="25">
        <f t="shared" si="42"/>
        <v>18.999999999999986</v>
      </c>
      <c r="B329" s="51">
        <f>(Calibration!$O$63*Calibration!$B$49*SQRT(I329+Calibration!$F$61-Calibration!$F$63))-((0.32989795*(I329+Calibration!$F$61-Calibration!$F$63))-1.302)</f>
        <v>24.757201199301456</v>
      </c>
      <c r="C329" s="51">
        <f>I329*Calibration!$B$50*Calibration!$O$63*Calibration!$B$71/12500*'Degradation Model'!$B$26/Calibration!$B$61</f>
        <v>23.061825766708914</v>
      </c>
      <c r="D329" s="51">
        <f t="shared" si="35"/>
        <v>41.512040066473148</v>
      </c>
      <c r="E329" s="51">
        <f>((Calibration!$O$64-1)*F329*Calibration!$B$63/7)</f>
        <v>7.0220814997790741</v>
      </c>
      <c r="F329" s="51">
        <f t="shared" si="36"/>
        <v>66.26924126577461</v>
      </c>
      <c r="G329" s="51">
        <f t="shared" si="37"/>
        <v>73.291322765553687</v>
      </c>
      <c r="H329" s="51">
        <f t="shared" si="38"/>
        <v>26.708677234446313</v>
      </c>
      <c r="I329" s="25">
        <f t="shared" si="43"/>
        <v>18.999999999999986</v>
      </c>
    </row>
    <row r="330" spans="1:9">
      <c r="A330" s="25">
        <f t="shared" si="42"/>
        <v>18.899999999999984</v>
      </c>
      <c r="B330" s="51">
        <f>(Calibration!$O$63*Calibration!$B$49*SQRT(I330+Calibration!$F$61-Calibration!$F$63))-((0.32989795*(I330+Calibration!$F$61-Calibration!$F$63))-1.302)</f>
        <v>24.712382160523642</v>
      </c>
      <c r="C330" s="51">
        <f>I330*Calibration!$B$50*Calibration!$O$63*Calibration!$B$71/12500*'Degradation Model'!$B$26/Calibration!$B$61</f>
        <v>22.940447736357818</v>
      </c>
      <c r="D330" s="51">
        <f t="shared" si="35"/>
        <v>41.066630034680564</v>
      </c>
      <c r="E330" s="51">
        <f>((Calibration!$O$64-1)*F330*Calibration!$B$63/7)</f>
        <v>6.9701354019914081</v>
      </c>
      <c r="F330" s="51">
        <f t="shared" si="36"/>
        <v>65.779012195204203</v>
      </c>
      <c r="G330" s="51">
        <f t="shared" si="37"/>
        <v>72.749147597195616</v>
      </c>
      <c r="H330" s="51">
        <f t="shared" si="38"/>
        <v>27.250852402804384</v>
      </c>
      <c r="I330" s="25">
        <f t="shared" si="43"/>
        <v>18.899999999999984</v>
      </c>
    </row>
    <row r="331" spans="1:9">
      <c r="A331" s="25">
        <f t="shared" si="42"/>
        <v>18.799999999999983</v>
      </c>
      <c r="B331" s="51">
        <f>(Calibration!$O$63*Calibration!$B$49*SQRT(I331+Calibration!$F$61-Calibration!$F$63))-((0.32989795*(I331+Calibration!$F$61-Calibration!$F$63))-1.302)</f>
        <v>24.667358725329045</v>
      </c>
      <c r="C331" s="51">
        <f>I331*Calibration!$B$50*Calibration!$O$63*Calibration!$B$71/12500*'Degradation Model'!$B$26/Calibration!$B$61</f>
        <v>22.819069706006715</v>
      </c>
      <c r="D331" s="51">
        <f t="shared" si="35"/>
        <v>40.629763906957315</v>
      </c>
      <c r="E331" s="51">
        <f>((Calibration!$O$64-1)*F331*Calibration!$B$63/7)</f>
        <v>6.9190729826839217</v>
      </c>
      <c r="F331" s="51">
        <f t="shared" si="36"/>
        <v>65.29712263228636</v>
      </c>
      <c r="G331" s="51">
        <f t="shared" si="37"/>
        <v>72.216195614970275</v>
      </c>
      <c r="H331" s="51">
        <f t="shared" si="38"/>
        <v>27.783804385029725</v>
      </c>
      <c r="I331" s="25">
        <f t="shared" si="43"/>
        <v>18.799999999999983</v>
      </c>
    </row>
    <row r="332" spans="1:9">
      <c r="A332" s="25">
        <f t="shared" si="42"/>
        <v>18.699999999999982</v>
      </c>
      <c r="B332" s="51">
        <f>(Calibration!$O$63*Calibration!$B$49*SQRT(I332+Calibration!$F$61-Calibration!$F$63))-((0.32989795*(I332+Calibration!$F$61-Calibration!$F$63))-1.302)</f>
        <v>24.622129274414611</v>
      </c>
      <c r="C332" s="51">
        <f>I332*Calibration!$B$50*Calibration!$O$63*Calibration!$B$71/12500*'Degradation Model'!$B$26/Calibration!$B$61</f>
        <v>22.697691675655609</v>
      </c>
      <c r="D332" s="51">
        <f t="shared" si="35"/>
        <v>40.200988037784199</v>
      </c>
      <c r="E332" s="51">
        <f>((Calibration!$O$64-1)*F332*Calibration!$B$63/7)</f>
        <v>6.8688460006722423</v>
      </c>
      <c r="F332" s="51">
        <f t="shared" si="36"/>
        <v>64.823117312198804</v>
      </c>
      <c r="G332" s="51">
        <f t="shared" si="37"/>
        <v>71.691963312871053</v>
      </c>
      <c r="H332" s="51">
        <f t="shared" si="38"/>
        <v>28.308036687128947</v>
      </c>
      <c r="I332" s="25">
        <f t="shared" si="43"/>
        <v>18.699999999999982</v>
      </c>
    </row>
    <row r="333" spans="1:9">
      <c r="A333" s="25">
        <f t="shared" si="42"/>
        <v>18.59999999999998</v>
      </c>
      <c r="B333" s="51">
        <f>(Calibration!$O$63*Calibration!$B$49*SQRT(I333+Calibration!$F$61-Calibration!$F$63))-((0.32989795*(I333+Calibration!$F$61-Calibration!$F$63))-1.302)</f>
        <v>24.576692166982504</v>
      </c>
      <c r="C333" s="51">
        <f>I333*Calibration!$B$50*Calibration!$O$63*Calibration!$B$71/12500*'Degradation Model'!$B$26/Calibration!$B$61</f>
        <v>22.576313645304509</v>
      </c>
      <c r="D333" s="51">
        <f t="shared" ref="D333:D396" si="44">D334+($C$518*100/H334)</f>
        <v>39.779887605309611</v>
      </c>
      <c r="E333" s="51">
        <f>((Calibration!$O$64-1)*F333*Calibration!$B$63/7)</f>
        <v>6.8194103263630641</v>
      </c>
      <c r="F333" s="51">
        <f t="shared" ref="F333:F396" si="45">B333+D333</f>
        <v>64.356579772292122</v>
      </c>
      <c r="G333" s="51">
        <f t="shared" ref="G333:G396" si="46">F333+E333</f>
        <v>71.175990098655191</v>
      </c>
      <c r="H333" s="51">
        <f t="shared" ref="H333:H396" si="47">IF(100-G333&lt;10,10,100-G333)</f>
        <v>28.824009901344809</v>
      </c>
      <c r="I333" s="25">
        <f t="shared" si="43"/>
        <v>18.59999999999998</v>
      </c>
    </row>
    <row r="334" spans="1:9">
      <c r="A334" s="25">
        <f t="shared" si="42"/>
        <v>18.499999999999979</v>
      </c>
      <c r="B334" s="51">
        <f>(Calibration!$O$63*Calibration!$B$49*SQRT(I334+Calibration!$F$61-Calibration!$F$63))-((0.32989795*(I334+Calibration!$F$61-Calibration!$F$63))-1.302)</f>
        <v>24.531045740338513</v>
      </c>
      <c r="C334" s="51">
        <f>I334*Calibration!$B$50*Calibration!$O$63*Calibration!$B$71/12500*'Degradation Model'!$B$26/Calibration!$B$61</f>
        <v>22.454935614953406</v>
      </c>
      <c r="D334" s="51">
        <f t="shared" si="44"/>
        <v>39.366082125184455</v>
      </c>
      <c r="E334" s="51">
        <f>((Calibration!$O$64-1)*F334*Calibration!$B$63/7)</f>
        <v>6.7707254663444818</v>
      </c>
      <c r="F334" s="51">
        <f t="shared" si="45"/>
        <v>63.897127865522968</v>
      </c>
      <c r="G334" s="51">
        <f t="shared" si="46"/>
        <v>70.667853331867448</v>
      </c>
      <c r="H334" s="51">
        <f t="shared" si="47"/>
        <v>29.332146668132552</v>
      </c>
      <c r="I334" s="25">
        <f t="shared" si="43"/>
        <v>18.499999999999979</v>
      </c>
    </row>
    <row r="335" spans="1:9">
      <c r="A335" s="25">
        <f t="shared" si="42"/>
        <v>18.399999999999977</v>
      </c>
      <c r="B335" s="51">
        <f>(Calibration!$O$63*Calibration!$B$49*SQRT(I335+Calibration!$F$61-Calibration!$F$63))-((0.32989795*(I335+Calibration!$F$61-Calibration!$F$63))-1.302)</f>
        <v>24.485188309480769</v>
      </c>
      <c r="C335" s="51">
        <f>I335*Calibration!$B$50*Calibration!$O$63*Calibration!$B$71/12500*'Degradation Model'!$B$26/Calibration!$B$61</f>
        <v>22.333557584602307</v>
      </c>
      <c r="D335" s="51">
        <f t="shared" si="44"/>
        <v>38.95922160862623</v>
      </c>
      <c r="E335" s="51">
        <f>((Calibration!$O$64-1)*F335*Calibration!$B$63/7)</f>
        <v>6.7227541562397226</v>
      </c>
      <c r="F335" s="51">
        <f t="shared" si="45"/>
        <v>63.444409918106999</v>
      </c>
      <c r="G335" s="51">
        <f t="shared" si="46"/>
        <v>70.167164074346715</v>
      </c>
      <c r="H335" s="51">
        <f t="shared" si="47"/>
        <v>29.832835925653285</v>
      </c>
      <c r="I335" s="25">
        <f t="shared" si="43"/>
        <v>18.399999999999977</v>
      </c>
    </row>
    <row r="336" spans="1:9">
      <c r="A336" s="25">
        <f t="shared" si="42"/>
        <v>18.299999999999976</v>
      </c>
      <c r="B336" s="51">
        <f>(Calibration!$O$63*Calibration!$B$49*SQRT(I336+Calibration!$F$61-Calibration!$F$63))-((0.32989795*(I336+Calibration!$F$61-Calibration!$F$63))-1.302)</f>
        <v>24.439118166678469</v>
      </c>
      <c r="C336" s="51">
        <f>I336*Calibration!$B$50*Calibration!$O$63*Calibration!$B$71/12500*'Degradation Model'!$B$26/Calibration!$B$61</f>
        <v>22.212179554251204</v>
      </c>
      <c r="D336" s="51">
        <f t="shared" si="44"/>
        <v>38.5589832552687</v>
      </c>
      <c r="E336" s="51">
        <f>((Calibration!$O$64-1)*F336*Calibration!$B$63/7)</f>
        <v>6.6754620102272284</v>
      </c>
      <c r="F336" s="51">
        <f t="shared" si="45"/>
        <v>62.998101421947169</v>
      </c>
      <c r="G336" s="51">
        <f t="shared" si="46"/>
        <v>69.673563432174404</v>
      </c>
      <c r="H336" s="51">
        <f t="shared" si="47"/>
        <v>30.326436567825596</v>
      </c>
      <c r="I336" s="25">
        <f t="shared" si="43"/>
        <v>18.299999999999976</v>
      </c>
    </row>
    <row r="337" spans="1:9">
      <c r="A337" s="25">
        <f t="shared" si="42"/>
        <v>18.199999999999974</v>
      </c>
      <c r="B337" s="51">
        <f>(Calibration!$O$63*Calibration!$B$49*SQRT(I337+Calibration!$F$61-Calibration!$F$63))-((0.32989795*(I337+Calibration!$F$61-Calibration!$F$63))-1.302)</f>
        <v>24.392833581040342</v>
      </c>
      <c r="C337" s="51">
        <f>I337*Calibration!$B$50*Calibration!$O$63*Calibration!$B$71/12500*'Degradation Model'!$B$26/Calibration!$B$61</f>
        <v>22.090801523900105</v>
      </c>
      <c r="D337" s="51">
        <f t="shared" si="44"/>
        <v>38.165068592647891</v>
      </c>
      <c r="E337" s="51">
        <f>((Calibration!$O$64-1)*F337*Calibration!$B$63/7)</f>
        <v>6.628817217886561</v>
      </c>
      <c r="F337" s="51">
        <f t="shared" si="45"/>
        <v>62.557902173688234</v>
      </c>
      <c r="G337" s="51">
        <f t="shared" si="46"/>
        <v>69.186719391574798</v>
      </c>
      <c r="H337" s="51">
        <f t="shared" si="47"/>
        <v>30.813280608425202</v>
      </c>
      <c r="I337" s="25">
        <f t="shared" si="43"/>
        <v>18.199999999999974</v>
      </c>
    </row>
    <row r="338" spans="1:9">
      <c r="A338" s="25">
        <f t="shared" si="42"/>
        <v>18.099999999999973</v>
      </c>
      <c r="B338" s="51">
        <f>(Calibration!$O$63*Calibration!$B$49*SQRT(I338+Calibration!$F$61-Calibration!$F$63))-((0.32989795*(I338+Calibration!$F$61-Calibration!$F$63))-1.302)</f>
        <v>24.346332798072453</v>
      </c>
      <c r="C338" s="51">
        <f>I338*Calibration!$B$50*Calibration!$O$63*Calibration!$B$71/12500*'Degradation Model'!$B$26/Calibration!$B$61</f>
        <v>21.969423493549005</v>
      </c>
      <c r="D338" s="51">
        <f t="shared" si="44"/>
        <v>37.777200990831417</v>
      </c>
      <c r="E338" s="51">
        <f>((Calibration!$O$64-1)*F338*Calibration!$B$63/7)</f>
        <v>6.582790280794427</v>
      </c>
      <c r="F338" s="51">
        <f t="shared" si="45"/>
        <v>62.12353378890387</v>
      </c>
      <c r="G338" s="51">
        <f t="shared" si="46"/>
        <v>68.706324069698297</v>
      </c>
      <c r="H338" s="51">
        <f t="shared" si="47"/>
        <v>31.293675930301703</v>
      </c>
      <c r="I338" s="25">
        <f t="shared" si="43"/>
        <v>18.099999999999973</v>
      </c>
    </row>
    <row r="339" spans="1:9">
      <c r="A339" s="25">
        <f t="shared" si="42"/>
        <v>17.999999999999972</v>
      </c>
      <c r="B339" s="51">
        <f>(Calibration!$O$63*Calibration!$B$49*SQRT(I339+Calibration!$F$61-Calibration!$F$63))-((0.32989795*(I339+Calibration!$F$61-Calibration!$F$63))-1.302)</f>
        <v>24.299614039225219</v>
      </c>
      <c r="C339" s="51">
        <f>I339*Calibration!$B$50*Calibration!$O$63*Calibration!$B$71/12500*'Degradation Model'!$B$26/Calibration!$B$61</f>
        <v>21.848045463197902</v>
      </c>
      <c r="D339" s="51">
        <f t="shared" si="44"/>
        <v>37.395123493828223</v>
      </c>
      <c r="E339" s="51">
        <f>((Calibration!$O$64-1)*F339*Calibration!$B$63/7)</f>
        <v>6.5373537826865649</v>
      </c>
      <c r="F339" s="51">
        <f t="shared" si="45"/>
        <v>61.694737533053441</v>
      </c>
      <c r="G339" s="51">
        <f t="shared" si="46"/>
        <v>68.232091315740007</v>
      </c>
      <c r="H339" s="51">
        <f t="shared" si="47"/>
        <v>31.767908684259993</v>
      </c>
      <c r="I339" s="25">
        <f t="shared" si="43"/>
        <v>17.999999999999972</v>
      </c>
    </row>
    <row r="340" spans="1:9">
      <c r="A340" s="25">
        <f t="shared" si="42"/>
        <v>17.89999999999997</v>
      </c>
      <c r="B340" s="51">
        <f>(Calibration!$O$63*Calibration!$B$49*SQRT(I340+Calibration!$F$61-Calibration!$F$63))-((0.32989795*(I340+Calibration!$F$61-Calibration!$F$63))-1.302)</f>
        <v>24.252675501429017</v>
      </c>
      <c r="C340" s="51">
        <f>I340*Calibration!$B$50*Calibration!$O$63*Calibration!$B$71/12500*'Degradation Model'!$B$26/Calibration!$B$61</f>
        <v>21.726667432846799</v>
      </c>
      <c r="D340" s="51">
        <f t="shared" si="44"/>
        <v>37.018596919842075</v>
      </c>
      <c r="E340" s="51">
        <f>((Calibration!$O$64-1)*F340*Calibration!$B$63/7)</f>
        <v>6.4924821881058605</v>
      </c>
      <c r="F340" s="51">
        <f t="shared" si="45"/>
        <v>61.271272421271092</v>
      </c>
      <c r="G340" s="51">
        <f t="shared" si="46"/>
        <v>67.763754609376946</v>
      </c>
      <c r="H340" s="51">
        <f t="shared" si="47"/>
        <v>32.236245390623054</v>
      </c>
      <c r="I340" s="25">
        <f t="shared" si="43"/>
        <v>17.89999999999997</v>
      </c>
    </row>
    <row r="341" spans="1:9">
      <c r="A341" s="25">
        <f t="shared" si="42"/>
        <v>17.799999999999969</v>
      </c>
      <c r="B341" s="51">
        <f>(Calibration!$O$63*Calibration!$B$49*SQRT(I341+Calibration!$F$61-Calibration!$F$63))-((0.32989795*(I341+Calibration!$F$61-Calibration!$F$63))-1.302)</f>
        <v>24.205515356618346</v>
      </c>
      <c r="C341" s="51">
        <f>I341*Calibration!$B$50*Calibration!$O$63*Calibration!$B$71/12500*'Degradation Model'!$B$26/Calibration!$B$61</f>
        <v>21.605289402495693</v>
      </c>
      <c r="D341" s="51">
        <f t="shared" si="44"/>
        <v>36.647398190768115</v>
      </c>
      <c r="E341" s="51">
        <f>((Calibration!$O$64-1)*F341*Calibration!$B$63/7)</f>
        <v>6.4481516653405295</v>
      </c>
      <c r="F341" s="51">
        <f t="shared" si="45"/>
        <v>60.852913547386464</v>
      </c>
      <c r="G341" s="51">
        <f t="shared" si="46"/>
        <v>67.301065212726996</v>
      </c>
      <c r="H341" s="51">
        <f t="shared" si="47"/>
        <v>32.698934787273004</v>
      </c>
      <c r="I341" s="25">
        <f t="shared" si="43"/>
        <v>17.799999999999969</v>
      </c>
    </row>
    <row r="342" spans="1:9">
      <c r="A342" s="25">
        <f t="shared" si="42"/>
        <v>17.699999999999967</v>
      </c>
      <c r="B342" s="51">
        <f>(Calibration!$O$63*Calibration!$B$49*SQRT(I342+Calibration!$F$61-Calibration!$F$63))-((0.32989795*(I342+Calibration!$F$61-Calibration!$F$63))-1.302)</f>
        <v>24.158131751244007</v>
      </c>
      <c r="C342" s="51">
        <f>I342*Calibration!$B$50*Calibration!$O$63*Calibration!$B$71/12500*'Degradation Model'!$B$26/Calibration!$B$61</f>
        <v>21.483911372144597</v>
      </c>
      <c r="D342" s="51">
        <f t="shared" si="44"/>
        <v>36.281318858040102</v>
      </c>
      <c r="E342" s="51">
        <f>((Calibration!$O$64-1)*F342*Calibration!$B$63/7)</f>
        <v>6.4043399301669099</v>
      </c>
      <c r="F342" s="51">
        <f t="shared" si="45"/>
        <v>60.439450609284108</v>
      </c>
      <c r="G342" s="51">
        <f t="shared" si="46"/>
        <v>66.843790539451021</v>
      </c>
      <c r="H342" s="51">
        <f t="shared" si="47"/>
        <v>33.156209460548979</v>
      </c>
      <c r="I342" s="25">
        <f t="shared" si="43"/>
        <v>17.699999999999967</v>
      </c>
    </row>
    <row r="343" spans="1:9">
      <c r="A343" s="25">
        <f t="shared" si="42"/>
        <v>17.599999999999966</v>
      </c>
      <c r="B343" s="51">
        <f>(Calibration!$O$63*Calibration!$B$49*SQRT(I343+Calibration!$F$61-Calibration!$F$63))-((0.32989795*(I343+Calibration!$F$61-Calibration!$F$63))-1.302)</f>
        <v>24.110522805772941</v>
      </c>
      <c r="C343" s="51">
        <f>I343*Calibration!$B$50*Calibration!$O$63*Calibration!$B$71/12500*'Degradation Model'!$B$26/Calibration!$B$61</f>
        <v>21.362533341793497</v>
      </c>
      <c r="D343" s="51">
        <f t="shared" si="44"/>
        <v>35.920163797367131</v>
      </c>
      <c r="E343" s="51">
        <f>((Calibration!$O$64-1)*F343*Calibration!$B$63/7)</f>
        <v>6.3610261074869729</v>
      </c>
      <c r="F343" s="51">
        <f t="shared" si="45"/>
        <v>60.030686603140069</v>
      </c>
      <c r="G343" s="51">
        <f t="shared" si="46"/>
        <v>66.391712710627047</v>
      </c>
      <c r="H343" s="51">
        <f t="shared" si="47"/>
        <v>33.608287289372953</v>
      </c>
      <c r="I343" s="25">
        <f t="shared" si="43"/>
        <v>17.599999999999966</v>
      </c>
    </row>
    <row r="344" spans="1:9">
      <c r="A344" s="25">
        <f t="shared" si="42"/>
        <v>17.499999999999964</v>
      </c>
      <c r="B344" s="51">
        <f>(Calibration!$O$63*Calibration!$B$49*SQRT(I344+Calibration!$F$61-Calibration!$F$63))-((0.32989795*(I344+Calibration!$F$61-Calibration!$F$63))-1.302)</f>
        <v>24.062686614175369</v>
      </c>
      <c r="C344" s="51">
        <f>I344*Calibration!$B$50*Calibration!$O$63*Calibration!$B$71/12500*'Degradation Model'!$B$26/Calibration!$B$61</f>
        <v>21.241155311442395</v>
      </c>
      <c r="D344" s="51">
        <f t="shared" si="44"/>
        <v>35.563750049321477</v>
      </c>
      <c r="E344" s="51">
        <f>((Calibration!$O$64-1)*F344*Calibration!$B$63/7)</f>
        <v>6.3181906084193002</v>
      </c>
      <c r="F344" s="51">
        <f t="shared" si="45"/>
        <v>59.626436663496847</v>
      </c>
      <c r="G344" s="51">
        <f t="shared" si="46"/>
        <v>65.944627271916147</v>
      </c>
      <c r="H344" s="51">
        <f t="shared" si="47"/>
        <v>34.055372728083853</v>
      </c>
      <c r="I344" s="25">
        <f t="shared" si="43"/>
        <v>17.499999999999964</v>
      </c>
    </row>
    <row r="345" spans="1:9">
      <c r="A345" s="25">
        <f t="shared" si="42"/>
        <v>17.399999999999963</v>
      </c>
      <c r="B345" s="51">
        <f>(Calibration!$O$63*Calibration!$B$49*SQRT(I345+Calibration!$F$61-Calibration!$F$63))-((0.32989795*(I345+Calibration!$F$61-Calibration!$F$63))-1.302)</f>
        <v>24.014621243398928</v>
      </c>
      <c r="C345" s="51">
        <f>I345*Calibration!$B$50*Calibration!$O$63*Calibration!$B$71/12500*'Degradation Model'!$B$26/Calibration!$B$61</f>
        <v>21.119777281091295</v>
      </c>
      <c r="D345" s="51">
        <f t="shared" si="44"/>
        <v>35.211905786360433</v>
      </c>
      <c r="E345" s="51">
        <f>((Calibration!$O$64-1)*F345*Calibration!$B$63/7)</f>
        <v>6.2758150207859815</v>
      </c>
      <c r="F345" s="51">
        <f t="shared" si="45"/>
        <v>59.22652702975936</v>
      </c>
      <c r="G345" s="51">
        <f t="shared" si="46"/>
        <v>65.502342050545337</v>
      </c>
      <c r="H345" s="51">
        <f t="shared" si="47"/>
        <v>34.497657949454663</v>
      </c>
      <c r="I345" s="25">
        <f t="shared" si="43"/>
        <v>17.399999999999963</v>
      </c>
    </row>
    <row r="346" spans="1:9">
      <c r="A346" s="25">
        <f t="shared" si="42"/>
        <v>17.299999999999962</v>
      </c>
      <c r="B346" s="51">
        <f>(Calibration!$O$63*Calibration!$B$49*SQRT(I346+Calibration!$F$61-Calibration!$F$63))-((0.32989795*(I346+Calibration!$F$61-Calibration!$F$63))-1.302)</f>
        <v>23.966324732829229</v>
      </c>
      <c r="C346" s="51">
        <f>I346*Calibration!$B$50*Calibration!$O$63*Calibration!$B$71/12500*'Degradation Model'!$B$26/Calibration!$B$61</f>
        <v>20.998399250740192</v>
      </c>
      <c r="D346" s="51">
        <f t="shared" si="44"/>
        <v>34.864469389845553</v>
      </c>
      <c r="E346" s="51">
        <f>((Calibration!$O$64-1)*F346*Calibration!$B$63/7)</f>
        <v>6.2338820112537352</v>
      </c>
      <c r="F346" s="51">
        <f t="shared" si="45"/>
        <v>58.830794122674781</v>
      </c>
      <c r="G346" s="51">
        <f t="shared" si="46"/>
        <v>65.064676133928515</v>
      </c>
      <c r="H346" s="51">
        <f t="shared" si="47"/>
        <v>34.935323866071485</v>
      </c>
      <c r="I346" s="25">
        <f t="shared" si="43"/>
        <v>17.299999999999962</v>
      </c>
    </row>
    <row r="347" spans="1:9">
      <c r="A347" s="25">
        <f t="shared" si="42"/>
        <v>17.19999999999996</v>
      </c>
      <c r="B347" s="51">
        <f>(Calibration!$O$63*Calibration!$B$49*SQRT(I347+Calibration!$F$61-Calibration!$F$63))-((0.32989795*(I347+Calibration!$F$61-Calibration!$F$63))-1.302)</f>
        <v>23.917795093736508</v>
      </c>
      <c r="C347" s="51">
        <f>I347*Calibration!$B$50*Calibration!$O$63*Calibration!$B$71/12500*'Degradation Model'!$B$26/Calibration!$B$61</f>
        <v>20.877021220389093</v>
      </c>
      <c r="D347" s="51">
        <f t="shared" si="44"/>
        <v>34.52128862308777</v>
      </c>
      <c r="E347" s="51">
        <f>((Calibration!$O$64-1)*F347*Calibration!$B$63/7)</f>
        <v>6.1923752376487329</v>
      </c>
      <c r="F347" s="51">
        <f t="shared" si="45"/>
        <v>58.439083716824278</v>
      </c>
      <c r="G347" s="51">
        <f t="shared" si="46"/>
        <v>64.631458954473004</v>
      </c>
      <c r="H347" s="51">
        <f t="shared" si="47"/>
        <v>35.368541045526996</v>
      </c>
      <c r="I347" s="25">
        <f t="shared" si="43"/>
        <v>17.19999999999996</v>
      </c>
    </row>
    <row r="348" spans="1:9">
      <c r="A348" s="25">
        <f t="shared" si="42"/>
        <v>17.099999999999959</v>
      </c>
      <c r="B348" s="51">
        <f>(Calibration!$O$63*Calibration!$B$49*SQRT(I348+Calibration!$F$61-Calibration!$F$63))-((0.32989795*(I348+Calibration!$F$61-Calibration!$F$63))-1.302)</f>
        <v>23.869030308707931</v>
      </c>
      <c r="C348" s="51">
        <f>I348*Calibration!$B$50*Calibration!$O$63*Calibration!$B$71/12500*'Degradation Model'!$B$26/Calibration!$B$61</f>
        <v>20.75564319003799</v>
      </c>
      <c r="D348" s="51">
        <f t="shared" si="44"/>
        <v>34.182219888495212</v>
      </c>
      <c r="E348" s="51">
        <f>((Calibration!$O$64-1)*F348*Calibration!$B$63/7)</f>
        <v>6.1512792701816617</v>
      </c>
      <c r="F348" s="51">
        <f t="shared" si="45"/>
        <v>58.051250197203146</v>
      </c>
      <c r="G348" s="51">
        <f t="shared" si="46"/>
        <v>64.202529467384807</v>
      </c>
      <c r="H348" s="51">
        <f t="shared" si="47"/>
        <v>35.797470532615193</v>
      </c>
      <c r="I348" s="25">
        <f t="shared" si="43"/>
        <v>17.099999999999959</v>
      </c>
    </row>
    <row r="349" spans="1:9">
      <c r="A349" s="25">
        <f t="shared" si="42"/>
        <v>16.999999999999957</v>
      </c>
      <c r="B349" s="51">
        <f>(Calibration!$O$63*Calibration!$B$49*SQRT(I349+Calibration!$F$61-Calibration!$F$63))-((0.32989795*(I349+Calibration!$F$61-Calibration!$F$63))-1.302)</f>
        <v>23.820028331065068</v>
      </c>
      <c r="C349" s="51">
        <f>I349*Calibration!$B$50*Calibration!$O$63*Calibration!$B$71/12500*'Degradation Model'!$B$26/Calibration!$B$61</f>
        <v>20.634265159686883</v>
      </c>
      <c r="D349" s="51">
        <f t="shared" si="44"/>
        <v>33.847127558610403</v>
      </c>
      <c r="E349" s="51">
        <f>((Calibration!$O$64-1)*F349*Calibration!$B$63/7)</f>
        <v>6.1105795205007567</v>
      </c>
      <c r="F349" s="51">
        <f t="shared" si="45"/>
        <v>57.66715588967547</v>
      </c>
      <c r="G349" s="51">
        <f t="shared" si="46"/>
        <v>63.777735410176227</v>
      </c>
      <c r="H349" s="51">
        <f t="shared" si="47"/>
        <v>36.222264589823773</v>
      </c>
      <c r="I349" s="25">
        <f t="shared" si="43"/>
        <v>16.999999999999957</v>
      </c>
    </row>
    <row r="350" spans="1:9">
      <c r="A350" s="25">
        <f t="shared" si="42"/>
        <v>16.899999999999956</v>
      </c>
      <c r="B350" s="51">
        <f>(Calibration!$O$63*Calibration!$B$49*SQRT(I350+Calibration!$F$61-Calibration!$F$63))-((0.32989795*(I350+Calibration!$F$61-Calibration!$F$63))-1.302)</f>
        <v>23.770787084266043</v>
      </c>
      <c r="C350" s="51">
        <f>I350*Calibration!$B$50*Calibration!$O$63*Calibration!$B$71/12500*'Degradation Model'!$B$26/Calibration!$B$61</f>
        <v>20.512887129335788</v>
      </c>
      <c r="D350" s="51">
        <f t="shared" si="44"/>
        <v>33.515883372256475</v>
      </c>
      <c r="E350" s="51">
        <f>((Calibration!$O$64-1)*F350*Calibration!$B$63/7)</f>
        <v>6.0702621776423493</v>
      </c>
      <c r="F350" s="51">
        <f t="shared" si="45"/>
        <v>57.286670456522515</v>
      </c>
      <c r="G350" s="51">
        <f t="shared" si="46"/>
        <v>63.356932634164863</v>
      </c>
      <c r="H350" s="51">
        <f t="shared" si="47"/>
        <v>36.643067365835137</v>
      </c>
      <c r="I350" s="25">
        <f t="shared" si="43"/>
        <v>16.899999999999956</v>
      </c>
    </row>
    <row r="351" spans="1:9">
      <c r="A351" s="25">
        <f t="shared" si="42"/>
        <v>16.799999999999955</v>
      </c>
      <c r="B351" s="51">
        <f>(Calibration!$O$63*Calibration!$B$49*SQRT(I351+Calibration!$F$61-Calibration!$F$63))-((0.32989795*(I351+Calibration!$F$61-Calibration!$F$63))-1.302)</f>
        <v>23.72130446129195</v>
      </c>
      <c r="C351" s="51">
        <f>I351*Calibration!$B$50*Calibration!$O$63*Calibration!$B$71/12500*'Degradation Model'!$B$26/Calibration!$B$61</f>
        <v>20.391509098984681</v>
      </c>
      <c r="D351" s="51">
        <f t="shared" si="44"/>
        <v>33.188365888218385</v>
      </c>
      <c r="E351" s="51">
        <f>((Calibration!$O$64-1)*F351*Calibration!$B$63/7)</f>
        <v>6.0303141500763209</v>
      </c>
      <c r="F351" s="51">
        <f t="shared" si="45"/>
        <v>56.909670349510336</v>
      </c>
      <c r="G351" s="51">
        <f t="shared" si="46"/>
        <v>62.939984499586657</v>
      </c>
      <c r="H351" s="51">
        <f t="shared" si="47"/>
        <v>37.060015500413343</v>
      </c>
      <c r="I351" s="25">
        <f t="shared" si="43"/>
        <v>16.799999999999955</v>
      </c>
    </row>
    <row r="352" spans="1:9">
      <c r="A352" s="25">
        <f t="shared" ref="A352:A383" si="48">A351-0.1</f>
        <v>16.699999999999953</v>
      </c>
      <c r="B352" s="51">
        <f>(Calibration!$O$63*Calibration!$B$49*SQRT(I352+Calibration!$F$61-Calibration!$F$63))-((0.32989795*(I352+Calibration!$F$61-Calibration!$F$63))-1.302)</f>
        <v>23.671578324016856</v>
      </c>
      <c r="C352" s="51">
        <f>I352*Calibration!$B$50*Calibration!$O$63*Calibration!$B$71/12500*'Degradation Model'!$B$26/Calibration!$B$61</f>
        <v>20.270131068633585</v>
      </c>
      <c r="D352" s="51">
        <f t="shared" si="44"/>
        <v>32.864459989903885</v>
      </c>
      <c r="E352" s="51">
        <f>((Calibration!$O$64-1)*F352*Calibration!$B$63/7)</f>
        <v>5.9907230131517837</v>
      </c>
      <c r="F352" s="51">
        <f t="shared" si="45"/>
        <v>56.536038313920741</v>
      </c>
      <c r="G352" s="51">
        <f t="shared" si="46"/>
        <v>62.526761327072528</v>
      </c>
      <c r="H352" s="51">
        <f t="shared" si="47"/>
        <v>37.473238672927472</v>
      </c>
      <c r="I352" s="25">
        <f t="shared" ref="I352:I383" si="49">I351-0.1</f>
        <v>16.699999999999953</v>
      </c>
    </row>
    <row r="353" spans="1:9">
      <c r="A353" s="25">
        <f t="shared" si="48"/>
        <v>16.599999999999952</v>
      </c>
      <c r="B353" s="51">
        <f>(Calibration!$O$63*Calibration!$B$49*SQRT(I353+Calibration!$F$61-Calibration!$F$63))-((0.32989795*(I353+Calibration!$F$61-Calibration!$F$63))-1.302)</f>
        <v>23.621606502561121</v>
      </c>
      <c r="C353" s="51">
        <f>I353*Calibration!$B$50*Calibration!$O$63*Calibration!$B$71/12500*'Degradation Model'!$B$26/Calibration!$B$61</f>
        <v>20.148753038282479</v>
      </c>
      <c r="D353" s="51">
        <f t="shared" si="44"/>
        <v>32.544056435293442</v>
      </c>
      <c r="E353" s="51">
        <f>((Calibration!$O$64-1)*F353*Calibration!$B$63/7)</f>
        <v>5.9514769613399414</v>
      </c>
      <c r="F353" s="51">
        <f t="shared" si="45"/>
        <v>56.165662937854563</v>
      </c>
      <c r="G353" s="51">
        <f t="shared" si="46"/>
        <v>62.117139899194505</v>
      </c>
      <c r="H353" s="51">
        <f t="shared" si="47"/>
        <v>37.882860100805495</v>
      </c>
      <c r="I353" s="25">
        <f t="shared" si="49"/>
        <v>16.599999999999952</v>
      </c>
    </row>
    <row r="354" spans="1:9">
      <c r="A354" s="25">
        <f t="shared" si="48"/>
        <v>16.49999999999995</v>
      </c>
      <c r="B354" s="51">
        <f>(Calibration!$O$63*Calibration!$B$49*SQRT(I354+Calibration!$F$61-Calibration!$F$63))-((0.32989795*(I354+Calibration!$F$61-Calibration!$F$63))-1.302)</f>
        <v>23.571386794627148</v>
      </c>
      <c r="C354" s="51">
        <f>I354*Calibration!$B$50*Calibration!$O$63*Calibration!$B$71/12500*'Degradation Model'!$B$26/Calibration!$B$61</f>
        <v>20.027375007931383</v>
      </c>
      <c r="D354" s="51">
        <f t="shared" si="44"/>
        <v>32.227051447223367</v>
      </c>
      <c r="E354" s="51">
        <f>((Calibration!$O$64-1)*F354*Calibration!$B$63/7)</f>
        <v>5.9125647647489146</v>
      </c>
      <c r="F354" s="51">
        <f t="shared" si="45"/>
        <v>55.798438241850519</v>
      </c>
      <c r="G354" s="51">
        <f t="shared" si="46"/>
        <v>61.711003006599434</v>
      </c>
      <c r="H354" s="51">
        <f t="shared" si="47"/>
        <v>38.288996993400566</v>
      </c>
      <c r="I354" s="25">
        <f t="shared" si="49"/>
        <v>16.49999999999995</v>
      </c>
    </row>
    <row r="355" spans="1:9">
      <c r="A355" s="25">
        <f t="shared" si="48"/>
        <v>16.399999999999949</v>
      </c>
      <c r="B355" s="51">
        <f>(Calibration!$O$63*Calibration!$B$49*SQRT(I355+Calibration!$F$61-Calibration!$F$63))-((0.32989795*(I355+Calibration!$F$61-Calibration!$F$63))-1.302)</f>
        <v>23.520916964817317</v>
      </c>
      <c r="C355" s="51">
        <f>I355*Calibration!$B$50*Calibration!$O$63*Calibration!$B$71/12500*'Degradation Model'!$B$26/Calibration!$B$61</f>
        <v>19.905996977580283</v>
      </c>
      <c r="D355" s="51">
        <f t="shared" si="44"/>
        <v>31.913346339674593</v>
      </c>
      <c r="E355" s="51">
        <f>((Calibration!$O$64-1)*F355*Calibration!$B$63/7)</f>
        <v>5.8739757294519341</v>
      </c>
      <c r="F355" s="51">
        <f t="shared" si="45"/>
        <v>55.434263304491907</v>
      </c>
      <c r="G355" s="51">
        <f t="shared" si="46"/>
        <v>61.308239033943842</v>
      </c>
      <c r="H355" s="51">
        <f t="shared" si="47"/>
        <v>38.691760966056158</v>
      </c>
      <c r="I355" s="25">
        <f t="shared" si="49"/>
        <v>16.399999999999949</v>
      </c>
    </row>
    <row r="356" spans="1:9">
      <c r="A356" s="25">
        <f t="shared" si="48"/>
        <v>16.299999999999947</v>
      </c>
      <c r="B356" s="51">
        <f>(Calibration!$O$63*Calibration!$B$49*SQRT(I356+Calibration!$F$61-Calibration!$F$63))-((0.32989795*(I356+Calibration!$F$61-Calibration!$F$63))-1.302)</f>
        <v>23.470194743933249</v>
      </c>
      <c r="C356" s="51">
        <f>I356*Calibration!$B$50*Calibration!$O$63*Calibration!$B$71/12500*'Degradation Model'!$B$26/Calibration!$B$61</f>
        <v>19.78461894722918</v>
      </c>
      <c r="D356" s="51">
        <f t="shared" si="44"/>
        <v>31.602847176277372</v>
      </c>
      <c r="E356" s="51">
        <f>((Calibration!$O$64-1)*F356*Calibration!$B$63/7)</f>
        <v>5.8356996612272596</v>
      </c>
      <c r="F356" s="51">
        <f t="shared" si="45"/>
        <v>55.073041920210621</v>
      </c>
      <c r="G356" s="51">
        <f t="shared" si="46"/>
        <v>60.90874158143788</v>
      </c>
      <c r="H356" s="51">
        <f t="shared" si="47"/>
        <v>39.09125841856212</v>
      </c>
      <c r="I356" s="25">
        <f t="shared" si="49"/>
        <v>16.299999999999947</v>
      </c>
    </row>
    <row r="357" spans="1:9">
      <c r="A357" s="25">
        <f t="shared" si="48"/>
        <v>16.199999999999946</v>
      </c>
      <c r="B357" s="51">
        <f>(Calibration!$O$63*Calibration!$B$49*SQRT(I357+Calibration!$F$61-Calibration!$F$63))-((0.32989795*(I357+Calibration!$F$61-Calibration!$F$63))-1.302)</f>
        <v>23.419217828255931</v>
      </c>
      <c r="C357" s="51">
        <f>I357*Calibration!$B$50*Calibration!$O$63*Calibration!$B$71/12500*'Degradation Model'!$B$26/Calibration!$B$61</f>
        <v>19.663240916878074</v>
      </c>
      <c r="D357" s="51">
        <f t="shared" si="44"/>
        <v>31.295464457704419</v>
      </c>
      <c r="E357" s="51">
        <f>((Calibration!$O$64-1)*F357*Calibration!$B$63/7)</f>
        <v>5.7977268323571627</v>
      </c>
      <c r="F357" s="51">
        <f t="shared" si="45"/>
        <v>54.71468228596035</v>
      </c>
      <c r="G357" s="51">
        <f t="shared" si="46"/>
        <v>60.512409118317514</v>
      </c>
      <c r="H357" s="51">
        <f t="shared" si="47"/>
        <v>39.487590881682486</v>
      </c>
      <c r="I357" s="25">
        <f t="shared" si="49"/>
        <v>16.199999999999946</v>
      </c>
    </row>
    <row r="358" spans="1:9">
      <c r="A358" s="25">
        <f t="shared" si="48"/>
        <v>16.099999999999945</v>
      </c>
      <c r="B358" s="51">
        <f>(Calibration!$O$63*Calibration!$B$49*SQRT(I358+Calibration!$F$61-Calibration!$F$63))-((0.32989795*(I358+Calibration!$F$61-Calibration!$F$63))-1.302)</f>
        <v>23.367983878806029</v>
      </c>
      <c r="C358" s="51">
        <f>I358*Calibration!$B$50*Calibration!$O$63*Calibration!$B$71/12500*'Degradation Model'!$B$26/Calibration!$B$61</f>
        <v>19.541862886526978</v>
      </c>
      <c r="D358" s="51">
        <f t="shared" si="44"/>
        <v>30.991112835023515</v>
      </c>
      <c r="E358" s="51">
        <f>((Calibration!$O$64-1)*F358*Calibration!$B$63/7)</f>
        <v>5.7600479511755598</v>
      </c>
      <c r="F358" s="51">
        <f t="shared" si="45"/>
        <v>54.359096713829544</v>
      </c>
      <c r="G358" s="51">
        <f t="shared" si="46"/>
        <v>60.119144665005102</v>
      </c>
      <c r="H358" s="51">
        <f t="shared" si="47"/>
        <v>39.880855334994898</v>
      </c>
      <c r="I358" s="25">
        <f t="shared" si="49"/>
        <v>16.099999999999945</v>
      </c>
    </row>
    <row r="359" spans="1:9">
      <c r="A359" s="25">
        <f t="shared" si="48"/>
        <v>15.999999999999945</v>
      </c>
      <c r="B359" s="51">
        <f>(Calibration!$O$63*Calibration!$B$49*SQRT(I359+Calibration!$F$61-Calibration!$F$63))-((0.32989795*(I359+Calibration!$F$61-Calibration!$F$63))-1.302)</f>
        <v>23.31649052058361</v>
      </c>
      <c r="C359" s="51">
        <f>I359*Calibration!$B$50*Calibration!$O$63*Calibration!$B$71/12500*'Degradation Model'!$B$26/Calibration!$B$61</f>
        <v>19.420484856175872</v>
      </c>
      <c r="D359" s="51">
        <f t="shared" si="44"/>
        <v>30.689710846424969</v>
      </c>
      <c r="E359" s="51">
        <f>((Calibration!$O$64-1)*F359*Calibration!$B$63/7)</f>
        <v>5.7226541340903259</v>
      </c>
      <c r="F359" s="51">
        <f t="shared" si="45"/>
        <v>54.006201367008579</v>
      </c>
      <c r="G359" s="51">
        <f t="shared" si="46"/>
        <v>59.728855501098906</v>
      </c>
      <c r="H359" s="51">
        <f t="shared" si="47"/>
        <v>40.271144498901094</v>
      </c>
      <c r="I359" s="25">
        <f t="shared" si="49"/>
        <v>15.999999999999945</v>
      </c>
    </row>
    <row r="360" spans="1:9">
      <c r="A360" s="25">
        <f t="shared" si="48"/>
        <v>15.899999999999945</v>
      </c>
      <c r="B360" s="51">
        <f>(Calibration!$O$63*Calibration!$B$49*SQRT(I360+Calibration!$F$61-Calibration!$F$63))-((0.32989795*(I360+Calibration!$F$61-Calibration!$F$63))-1.302)</f>
        <v>23.264735341786761</v>
      </c>
      <c r="C360" s="51">
        <f>I360*Calibration!$B$50*Calibration!$O$63*Calibration!$B$71/12500*'Degradation Model'!$B$26/Calibration!$B$61</f>
        <v>19.299106825824779</v>
      </c>
      <c r="D360" s="51">
        <f t="shared" si="44"/>
        <v>30.391180675037909</v>
      </c>
      <c r="E360" s="51">
        <f>((Calibration!$O$64-1)*F360*Calibration!$B$63/7)</f>
        <v>5.6855368798380059</v>
      </c>
      <c r="F360" s="51">
        <f t="shared" si="45"/>
        <v>53.655916016824669</v>
      </c>
      <c r="G360" s="51">
        <f t="shared" si="46"/>
        <v>59.341452896662673</v>
      </c>
      <c r="H360" s="51">
        <f t="shared" si="47"/>
        <v>40.658547103337327</v>
      </c>
      <c r="I360" s="25">
        <f t="shared" si="49"/>
        <v>15.899999999999945</v>
      </c>
    </row>
    <row r="361" spans="1:9">
      <c r="A361" s="25">
        <f t="shared" si="48"/>
        <v>15.799999999999946</v>
      </c>
      <c r="B361" s="51">
        <f>(Calibration!$O$63*Calibration!$B$49*SQRT(I361+Calibration!$F$61-Calibration!$F$63))-((0.32989795*(I361+Calibration!$F$61-Calibration!$F$63))-1.302)</f>
        <v>23.212715893008198</v>
      </c>
      <c r="C361" s="51">
        <f>I361*Calibration!$B$50*Calibration!$O$63*Calibration!$B$71/12500*'Degradation Model'!$B$26/Calibration!$B$61</f>
        <v>19.177728795473676</v>
      </c>
      <c r="D361" s="51">
        <f t="shared" si="44"/>
        <v>30.095447925808781</v>
      </c>
      <c r="E361" s="51">
        <f>((Calibration!$O$64-1)*F361*Calibration!$B$63/7)</f>
        <v>5.648688045756086</v>
      </c>
      <c r="F361" s="51">
        <f t="shared" si="45"/>
        <v>53.308163818816979</v>
      </c>
      <c r="G361" s="51">
        <f t="shared" si="46"/>
        <v>58.956851864573068</v>
      </c>
      <c r="H361" s="51">
        <f t="shared" si="47"/>
        <v>41.043148135426932</v>
      </c>
      <c r="I361" s="25">
        <f t="shared" si="49"/>
        <v>15.799999999999946</v>
      </c>
    </row>
    <row r="362" spans="1:9">
      <c r="A362" s="25">
        <f t="shared" si="48"/>
        <v>15.699999999999946</v>
      </c>
      <c r="B362" s="51">
        <f>(Calibration!$O$63*Calibration!$B$49*SQRT(I362+Calibration!$F$61-Calibration!$F$63))-((0.32989795*(I362+Calibration!$F$61-Calibration!$F$63))-1.302)</f>
        <v>23.160429686409262</v>
      </c>
      <c r="C362" s="51">
        <f>I362*Calibration!$B$50*Calibration!$O$63*Calibration!$B$71/12500*'Degradation Model'!$B$26/Calibration!$B$61</f>
        <v>19.056350765122581</v>
      </c>
      <c r="D362" s="51">
        <f t="shared" si="44"/>
        <v>29.802441419641603</v>
      </c>
      <c r="E362" s="51">
        <f>((Calibration!$O$64-1)*F362*Calibration!$B$63/7)</f>
        <v>5.6120998258819625</v>
      </c>
      <c r="F362" s="51">
        <f t="shared" si="45"/>
        <v>52.962871106050869</v>
      </c>
      <c r="G362" s="51">
        <f t="shared" si="46"/>
        <v>58.574970931932832</v>
      </c>
      <c r="H362" s="51">
        <f t="shared" si="47"/>
        <v>41.425029068067168</v>
      </c>
      <c r="I362" s="25">
        <f t="shared" si="49"/>
        <v>15.699999999999946</v>
      </c>
    </row>
    <row r="363" spans="1:9">
      <c r="A363" s="25">
        <f t="shared" si="48"/>
        <v>15.599999999999946</v>
      </c>
      <c r="B363" s="51">
        <f>(Calibration!$O$63*Calibration!$B$49*SQRT(I363+Calibration!$F$61-Calibration!$F$63))-((0.32989795*(I363+Calibration!$F$61-Calibration!$F$63))-1.302)</f>
        <v>23.107874194870337</v>
      </c>
      <c r="C363" s="51">
        <f>I363*Calibration!$B$50*Calibration!$O$63*Calibration!$B$71/12500*'Degradation Model'!$B$26/Calibration!$B$61</f>
        <v>18.934972734771474</v>
      </c>
      <c r="D363" s="51">
        <f t="shared" si="44"/>
        <v>29.512093003196938</v>
      </c>
      <c r="E363" s="51">
        <f>((Calibration!$O$64-1)*F363*Calibration!$B$63/7)</f>
        <v>5.5757647307086744</v>
      </c>
      <c r="F363" s="51">
        <f t="shared" si="45"/>
        <v>52.619967198067272</v>
      </c>
      <c r="G363" s="51">
        <f t="shared" si="46"/>
        <v>58.195731928775949</v>
      </c>
      <c r="H363" s="51">
        <f t="shared" si="47"/>
        <v>41.804268071224051</v>
      </c>
      <c r="I363" s="25">
        <f t="shared" si="49"/>
        <v>15.599999999999946</v>
      </c>
    </row>
    <row r="364" spans="1:9">
      <c r="A364" s="25">
        <f t="shared" si="48"/>
        <v>15.499999999999947</v>
      </c>
      <c r="B364" s="51">
        <f>(Calibration!$O$63*Calibration!$B$49*SQRT(I364+Calibration!$F$61-Calibration!$F$63))-((0.32989795*(I364+Calibration!$F$61-Calibration!$F$63))-1.302)</f>
        <v>23.055046851117073</v>
      </c>
      <c r="C364" s="51">
        <f>I364*Calibration!$B$50*Calibration!$O$63*Calibration!$B$71/12500*'Degradation Model'!$B$26/Calibration!$B$61</f>
        <v>18.813594704420382</v>
      </c>
      <c r="D364" s="51">
        <f t="shared" si="44"/>
        <v>29.224337372919525</v>
      </c>
      <c r="E364" s="51">
        <f>((Calibration!$O$64-1)*F364*Calibration!$B$63/7)</f>
        <v>5.5396755684457633</v>
      </c>
      <c r="F364" s="51">
        <f t="shared" si="45"/>
        <v>52.279384224036598</v>
      </c>
      <c r="G364" s="51">
        <f t="shared" si="46"/>
        <v>57.819059792482363</v>
      </c>
      <c r="H364" s="51">
        <f t="shared" si="47"/>
        <v>42.180940207517637</v>
      </c>
      <c r="I364" s="25">
        <f t="shared" si="49"/>
        <v>15.499999999999947</v>
      </c>
    </row>
    <row r="365" spans="1:9">
      <c r="A365" s="25">
        <f t="shared" si="48"/>
        <v>15.399999999999947</v>
      </c>
      <c r="B365" s="51">
        <f>(Calibration!$O$63*Calibration!$B$49*SQRT(I365+Calibration!$F$61-Calibration!$F$63))-((0.32989795*(I365+Calibration!$F$61-Calibration!$F$63))-1.302)</f>
        <v>23.001945046821401</v>
      </c>
      <c r="C365" s="51">
        <f>I365*Calibration!$B$50*Calibration!$O$63*Calibration!$B$71/12500*'Degradation Model'!$B$26/Calibration!$B$61</f>
        <v>18.692216674069282</v>
      </c>
      <c r="D365" s="51">
        <f t="shared" si="44"/>
        <v>28.93911191201623</v>
      </c>
      <c r="E365" s="51">
        <f>((Calibration!$O$64-1)*F365*Calibration!$B$63/7)</f>
        <v>5.5038254276497272</v>
      </c>
      <c r="F365" s="51">
        <f t="shared" si="45"/>
        <v>51.941056958837635</v>
      </c>
      <c r="G365" s="51">
        <f t="shared" si="46"/>
        <v>57.444882386487365</v>
      </c>
      <c r="H365" s="51">
        <f t="shared" si="47"/>
        <v>42.555117613512635</v>
      </c>
      <c r="I365" s="25">
        <f t="shared" si="49"/>
        <v>15.399999999999947</v>
      </c>
    </row>
    <row r="366" spans="1:9">
      <c r="A366" s="25">
        <f t="shared" si="48"/>
        <v>15.299999999999947</v>
      </c>
      <c r="B366" s="51">
        <f>(Calibration!$O$63*Calibration!$B$49*SQRT(I366+Calibration!$F$61-Calibration!$F$63))-((0.32989795*(I366+Calibration!$F$61-Calibration!$F$63))-1.302)</f>
        <v>22.94856613167649</v>
      </c>
      <c r="C366" s="51">
        <f>I366*Calibration!$B$50*Calibration!$O$63*Calibration!$B$71/12500*'Degradation Model'!$B$26/Calibration!$B$61</f>
        <v>18.570838643718183</v>
      </c>
      <c r="D366" s="51">
        <f t="shared" si="44"/>
        <v>28.6563565392395</v>
      </c>
      <c r="E366" s="51">
        <f>((Calibration!$O$64-1)*F366*Calibration!$B$63/7)</f>
        <v>5.468207661102654</v>
      </c>
      <c r="F366" s="51">
        <f t="shared" si="45"/>
        <v>51.60492267091599</v>
      </c>
      <c r="G366" s="51">
        <f t="shared" si="46"/>
        <v>57.073130332018643</v>
      </c>
      <c r="H366" s="51">
        <f t="shared" si="47"/>
        <v>42.926869667981357</v>
      </c>
      <c r="I366" s="25">
        <f t="shared" si="49"/>
        <v>15.299999999999947</v>
      </c>
    </row>
    <row r="367" spans="1:9">
      <c r="A367" s="25">
        <f t="shared" si="48"/>
        <v>15.199999999999948</v>
      </c>
      <c r="B367" s="51">
        <f>(Calibration!$O$63*Calibration!$B$49*SQRT(I367+Calibration!$F$61-Calibration!$F$63))-((0.32989795*(I367+Calibration!$F$61-Calibration!$F$63))-1.302)</f>
        <v>22.894907412444795</v>
      </c>
      <c r="C367" s="51">
        <f>I367*Calibration!$B$50*Calibration!$O$63*Calibration!$B$71/12500*'Degradation Model'!$B$26/Calibration!$B$61</f>
        <v>18.449460613367084</v>
      </c>
      <c r="D367" s="51">
        <f t="shared" si="44"/>
        <v>28.376013568449157</v>
      </c>
      <c r="E367" s="51">
        <f>((Calibration!$O$64-1)*F367*Calibration!$B$63/7)</f>
        <v>5.4328158708301135</v>
      </c>
      <c r="F367" s="51">
        <f t="shared" si="45"/>
        <v>51.270920980893948</v>
      </c>
      <c r="G367" s="51">
        <f t="shared" si="46"/>
        <v>56.703736851724059</v>
      </c>
      <c r="H367" s="51">
        <f t="shared" si="47"/>
        <v>43.296263148275941</v>
      </c>
      <c r="I367" s="25">
        <f t="shared" si="49"/>
        <v>15.199999999999948</v>
      </c>
    </row>
    <row r="368" spans="1:9">
      <c r="A368" s="25">
        <f t="shared" si="48"/>
        <v>15.099999999999948</v>
      </c>
      <c r="B368" s="51">
        <f>(Calibration!$O$63*Calibration!$B$49*SQRT(I368+Calibration!$F$61-Calibration!$F$63))-((0.32989795*(I368+Calibration!$F$61-Calibration!$F$63))-1.302)</f>
        <v>22.840966151978108</v>
      </c>
      <c r="C368" s="51">
        <f>I368*Calibration!$B$50*Calibration!$O$63*Calibration!$B$71/12500*'Degradation Model'!$B$26/Calibration!$B$61</f>
        <v>18.328082583015984</v>
      </c>
      <c r="D368" s="51">
        <f t="shared" si="44"/>
        <v>28.098027578029271</v>
      </c>
      <c r="E368" s="51">
        <f>((Calibration!$O$64-1)*F368*Calibration!$B$63/7)</f>
        <v>5.3976438941603453</v>
      </c>
      <c r="F368" s="51">
        <f t="shared" si="45"/>
        <v>50.938993730007383</v>
      </c>
      <c r="G368" s="51">
        <f t="shared" si="46"/>
        <v>56.336637624167729</v>
      </c>
      <c r="H368" s="51">
        <f t="shared" si="47"/>
        <v>43.663362375832271</v>
      </c>
      <c r="I368" s="25">
        <f t="shared" si="49"/>
        <v>15.099999999999948</v>
      </c>
    </row>
    <row r="369" spans="1:9">
      <c r="A369" s="25">
        <f t="shared" si="48"/>
        <v>14.999999999999948</v>
      </c>
      <c r="B369" s="51">
        <f>(Calibration!$O$63*Calibration!$B$49*SQRT(I369+Calibration!$F$61-Calibration!$F$63))-((0.32989795*(I369+Calibration!$F$61-Calibration!$F$63))-1.302)</f>
        <v>22.786739568208702</v>
      </c>
      <c r="C369" s="51">
        <f>I369*Calibration!$B$50*Calibration!$O$63*Calibration!$B$71/12500*'Degradation Model'!$B$26/Calibration!$B$61</f>
        <v>18.206704552664881</v>
      </c>
      <c r="D369" s="51">
        <f t="shared" si="44"/>
        <v>27.822345289328911</v>
      </c>
      <c r="E369" s="51">
        <f>((Calibration!$O$64-1)*F369*Calibration!$B$63/7)</f>
        <v>5.3626857907365864</v>
      </c>
      <c r="F369" s="51">
        <f t="shared" si="45"/>
        <v>50.60908485753761</v>
      </c>
      <c r="G369" s="51">
        <f t="shared" si="46"/>
        <v>55.971770648274195</v>
      </c>
      <c r="H369" s="51">
        <f t="shared" si="47"/>
        <v>44.028229351725805</v>
      </c>
      <c r="I369" s="25">
        <f t="shared" si="49"/>
        <v>14.999999999999948</v>
      </c>
    </row>
    <row r="370" spans="1:9">
      <c r="A370" s="25">
        <f t="shared" si="48"/>
        <v>14.899999999999949</v>
      </c>
      <c r="B370" s="51">
        <f>(Calibration!$O$63*Calibration!$B$49*SQRT(I370+Calibration!$F$61-Calibration!$F$63))-((0.32989795*(I370+Calibration!$F$61-Calibration!$F$63))-1.302)</f>
        <v>22.732224833110415</v>
      </c>
      <c r="C370" s="51">
        <f>I370*Calibration!$B$50*Calibration!$O$63*Calibration!$B$71/12500*'Degradation Model'!$B$26/Calibration!$B$61</f>
        <v>18.085326522313785</v>
      </c>
      <c r="D370" s="51">
        <f t="shared" si="44"/>
        <v>27.548915453377099</v>
      </c>
      <c r="E370" s="51">
        <f>((Calibration!$O$64-1)*F370*Calibration!$B$63/7)</f>
        <v>5.3279358304029794</v>
      </c>
      <c r="F370" s="51">
        <f t="shared" si="45"/>
        <v>50.281140286487513</v>
      </c>
      <c r="G370" s="51">
        <f t="shared" si="46"/>
        <v>55.609076116890492</v>
      </c>
      <c r="H370" s="51">
        <f t="shared" si="47"/>
        <v>44.390923883109508</v>
      </c>
      <c r="I370" s="25">
        <f t="shared" si="49"/>
        <v>14.899999999999949</v>
      </c>
    </row>
    <row r="371" spans="1:9">
      <c r="A371" s="25">
        <f t="shared" si="48"/>
        <v>14.799999999999949</v>
      </c>
      <c r="B371" s="51">
        <f>(Calibration!$O$63*Calibration!$B$49*SQRT(I371+Calibration!$F$61-Calibration!$F$63))-((0.32989795*(I371+Calibration!$F$61-Calibration!$F$63))-1.302)</f>
        <v>22.677419071628734</v>
      </c>
      <c r="C371" s="51">
        <f>I371*Calibration!$B$50*Calibration!$O$63*Calibration!$B$71/12500*'Degradation Model'!$B$26/Calibration!$B$61</f>
        <v>17.963948491962686</v>
      </c>
      <c r="D371" s="51">
        <f t="shared" si="44"/>
        <v>27.27768874519478</v>
      </c>
      <c r="E371" s="51">
        <f>((Calibration!$O$64-1)*F371*Calibration!$B$63/7)</f>
        <v>5.2933884818921815</v>
      </c>
      <c r="F371" s="51">
        <f t="shared" si="45"/>
        <v>49.955107816823514</v>
      </c>
      <c r="G371" s="51">
        <f t="shared" si="46"/>
        <v>55.248496298715693</v>
      </c>
      <c r="H371" s="51">
        <f t="shared" si="47"/>
        <v>44.751503701284307</v>
      </c>
      <c r="I371" s="25">
        <f t="shared" si="49"/>
        <v>14.799999999999949</v>
      </c>
    </row>
    <row r="372" spans="1:9">
      <c r="A372" s="25">
        <f t="shared" si="48"/>
        <v>14.69999999999995</v>
      </c>
      <c r="B372" s="51">
        <f>(Calibration!$O$63*Calibration!$B$49*SQRT(I372+Calibration!$F$61-Calibration!$F$63))-((0.32989795*(I372+Calibration!$F$61-Calibration!$F$63))-1.302)</f>
        <v>22.622319360578537</v>
      </c>
      <c r="C372" s="51">
        <f>I372*Calibration!$B$50*Calibration!$O$63*Calibration!$B$71/12500*'Degradation Model'!$B$26/Calibration!$B$61</f>
        <v>17.842570461611587</v>
      </c>
      <c r="D372" s="51">
        <f t="shared" si="44"/>
        <v>27.008617665091215</v>
      </c>
      <c r="E372" s="51">
        <f>((Calibration!$O$64-1)*F372*Calibration!$B$63/7)</f>
        <v>5.2590384022496499</v>
      </c>
      <c r="F372" s="51">
        <f t="shared" si="45"/>
        <v>49.630937025669752</v>
      </c>
      <c r="G372" s="51">
        <f t="shared" si="46"/>
        <v>54.889975427919403</v>
      </c>
      <c r="H372" s="51">
        <f t="shared" si="47"/>
        <v>45.110024572080597</v>
      </c>
      <c r="I372" s="25">
        <f t="shared" si="49"/>
        <v>14.69999999999995</v>
      </c>
    </row>
    <row r="373" spans="1:9">
      <c r="A373" s="25">
        <f t="shared" si="48"/>
        <v>14.59999999999995</v>
      </c>
      <c r="B373" s="51">
        <f>(Calibration!$O$63*Calibration!$B$49*SQRT(I373+Calibration!$F$61-Calibration!$F$63))-((0.32989795*(I373+Calibration!$F$61-Calibration!$F$63))-1.302)</f>
        <v>22.566922727508484</v>
      </c>
      <c r="C373" s="51">
        <f>I373*Calibration!$B$50*Calibration!$O$63*Calibration!$B$71/12500*'Degradation Model'!$B$26/Calibration!$B$61</f>
        <v>17.721192431260487</v>
      </c>
      <c r="D373" s="51">
        <f t="shared" si="44"/>
        <v>26.741656446389591</v>
      </c>
      <c r="E373" s="51">
        <f>((Calibration!$O$64-1)*F373*Calibration!$B$63/7)</f>
        <v>5.2248804269356404</v>
      </c>
      <c r="F373" s="51">
        <f t="shared" si="45"/>
        <v>49.308579173898075</v>
      </c>
      <c r="G373" s="51">
        <f t="shared" si="46"/>
        <v>54.533459600833716</v>
      </c>
      <c r="H373" s="51">
        <f t="shared" si="47"/>
        <v>45.466540399166284</v>
      </c>
      <c r="I373" s="25">
        <f t="shared" si="49"/>
        <v>14.59999999999995</v>
      </c>
    </row>
    <row r="374" spans="1:9">
      <c r="A374" s="25">
        <f t="shared" si="48"/>
        <v>14.49999999999995</v>
      </c>
      <c r="B374" s="51">
        <f>(Calibration!$O$63*Calibration!$B$49*SQRT(I374+Calibration!$F$61-Calibration!$F$63))-((0.32989795*(I374+Calibration!$F$61-Calibration!$F$63))-1.302)</f>
        <v>22.511226149530636</v>
      </c>
      <c r="C374" s="51">
        <f>I374*Calibration!$B$50*Calibration!$O$63*Calibration!$B$71/12500*'Degradation Model'!$B$26/Calibration!$B$61</f>
        <v>17.599814400909388</v>
      </c>
      <c r="D374" s="51">
        <f t="shared" si="44"/>
        <v>26.476760969078207</v>
      </c>
      <c r="E374" s="51">
        <f>((Calibration!$O$64-1)*F374*Calibration!$B$63/7)</f>
        <v>5.1909095605514297</v>
      </c>
      <c r="F374" s="51">
        <f t="shared" si="45"/>
        <v>48.987987118608842</v>
      </c>
      <c r="G374" s="51">
        <f t="shared" si="46"/>
        <v>54.178896679160275</v>
      </c>
      <c r="H374" s="51">
        <f t="shared" si="47"/>
        <v>45.821103320839725</v>
      </c>
      <c r="I374" s="25">
        <f t="shared" si="49"/>
        <v>14.49999999999995</v>
      </c>
    </row>
    <row r="375" spans="1:9">
      <c r="A375" s="25">
        <f t="shared" si="48"/>
        <v>14.399999999999951</v>
      </c>
      <c r="B375" s="51">
        <f>(Calibration!$O$63*Calibration!$B$49*SQRT(I375+Calibration!$F$61-Calibration!$F$63))-((0.32989795*(I375+Calibration!$F$61-Calibration!$F$63))-1.302)</f>
        <v>22.455226552114169</v>
      </c>
      <c r="C375" s="51">
        <f>I375*Calibration!$B$50*Calibration!$O$63*Calibration!$B$71/12500*'Degradation Model'!$B$26/Calibration!$B$61</f>
        <v>17.478436370558288</v>
      </c>
      <c r="D375" s="51">
        <f t="shared" si="44"/>
        <v>26.21388867892945</v>
      </c>
      <c r="E375" s="51">
        <f>((Calibration!$O$64-1)*F375*Calibration!$B$63/7)</f>
        <v>5.1571209681410952</v>
      </c>
      <c r="F375" s="51">
        <f t="shared" si="45"/>
        <v>48.669115231043619</v>
      </c>
      <c r="G375" s="51">
        <f t="shared" si="46"/>
        <v>53.826236199184713</v>
      </c>
      <c r="H375" s="51">
        <f t="shared" si="47"/>
        <v>46.173763800815287</v>
      </c>
      <c r="I375" s="25">
        <f t="shared" si="49"/>
        <v>14.399999999999951</v>
      </c>
    </row>
    <row r="376" spans="1:9">
      <c r="A376" s="25">
        <f t="shared" si="48"/>
        <v>14.299999999999951</v>
      </c>
      <c r="B376" s="51">
        <f>(Calibration!$O$63*Calibration!$B$49*SQRT(I376+Calibration!$F$61-Calibration!$F$63))-((0.32989795*(I376+Calibration!$F$61-Calibration!$F$63))-1.302)</f>
        <v>22.398920807841659</v>
      </c>
      <c r="C376" s="51">
        <f>I376*Calibration!$B$50*Calibration!$O$63*Calibration!$B$71/12500*'Degradation Model'!$B$26/Calibration!$B$61</f>
        <v>17.357058340207185</v>
      </c>
      <c r="D376" s="51">
        <f t="shared" si="44"/>
        <v>25.952998511670035</v>
      </c>
      <c r="E376" s="51">
        <f>((Calibration!$O$64-1)*F376*Calibration!$B$63/7)</f>
        <v>5.1235099670245896</v>
      </c>
      <c r="F376" s="51">
        <f t="shared" si="45"/>
        <v>48.351919319511694</v>
      </c>
      <c r="G376" s="51">
        <f t="shared" si="46"/>
        <v>53.475429286536283</v>
      </c>
      <c r="H376" s="51">
        <f t="shared" si="47"/>
        <v>46.524570713463717</v>
      </c>
      <c r="I376" s="25">
        <f t="shared" si="49"/>
        <v>14.299999999999951</v>
      </c>
    </row>
    <row r="377" spans="1:9">
      <c r="A377" s="25">
        <f t="shared" si="48"/>
        <v>14.199999999999951</v>
      </c>
      <c r="B377" s="51">
        <f>(Calibration!$O$63*Calibration!$B$49*SQRT(I377+Calibration!$F$61-Calibration!$F$63))-((0.32989795*(I377+Calibration!$F$61-Calibration!$F$63))-1.302)</f>
        <v>22.342305735126661</v>
      </c>
      <c r="C377" s="51">
        <f>I377*Calibration!$B$50*Calibration!$O$63*Calibration!$B$71/12500*'Degradation Model'!$B$26/Calibration!$B$61</f>
        <v>17.23568030985609</v>
      </c>
      <c r="D377" s="51">
        <f t="shared" si="44"/>
        <v>25.694050821822962</v>
      </c>
      <c r="E377" s="51">
        <f>((Calibration!$O$64-1)*F377*Calibration!$B$63/7)</f>
        <v>5.0900720191217417</v>
      </c>
      <c r="F377" s="51">
        <f t="shared" si="45"/>
        <v>48.036356556949627</v>
      </c>
      <c r="G377" s="51">
        <f t="shared" si="46"/>
        <v>53.126428576071369</v>
      </c>
      <c r="H377" s="51">
        <f t="shared" si="47"/>
        <v>46.873571423928631</v>
      </c>
      <c r="I377" s="25">
        <f t="shared" si="49"/>
        <v>14.199999999999951</v>
      </c>
    </row>
    <row r="378" spans="1:9">
      <c r="A378" s="25">
        <f t="shared" si="48"/>
        <v>14.099999999999952</v>
      </c>
      <c r="B378" s="51">
        <f>(Calibration!$O$63*Calibration!$B$49*SQRT(I378+Calibration!$F$61-Calibration!$F$63))-((0.32989795*(I378+Calibration!$F$61-Calibration!$F$63))-1.302)</f>
        <v>22.285378096890984</v>
      </c>
      <c r="C378" s="51">
        <f>I378*Calibration!$B$50*Calibration!$O$63*Calibration!$B$71/12500*'Degradation Model'!$B$26/Calibration!$B$61</f>
        <v>17.114302279504994</v>
      </c>
      <c r="D378" s="51">
        <f t="shared" si="44"/>
        <v>25.437007315874915</v>
      </c>
      <c r="E378" s="51">
        <f>((Calibration!$O$64-1)*F378*Calibration!$B$63/7)</f>
        <v>5.0568027237303115</v>
      </c>
      <c r="F378" s="51">
        <f t="shared" si="45"/>
        <v>47.722385412765902</v>
      </c>
      <c r="G378" s="51">
        <f t="shared" si="46"/>
        <v>52.779188136496217</v>
      </c>
      <c r="H378" s="51">
        <f t="shared" si="47"/>
        <v>47.220811863503783</v>
      </c>
      <c r="I378" s="25">
        <f t="shared" si="49"/>
        <v>14.099999999999952</v>
      </c>
    </row>
    <row r="379" spans="1:9">
      <c r="A379" s="25">
        <f t="shared" si="48"/>
        <v>13.999999999999952</v>
      </c>
      <c r="B379" s="51">
        <f>(Calibration!$O$63*Calibration!$B$49*SQRT(I379+Calibration!$F$61-Calibration!$F$63))-((0.32989795*(I379+Calibration!$F$61-Calibration!$F$63))-1.302)</f>
        <v>22.228134599200153</v>
      </c>
      <c r="C379" s="51">
        <f>I379*Calibration!$B$50*Calibration!$O$63*Calibration!$B$71/12500*'Degradation Model'!$B$26/Calibration!$B$61</f>
        <v>16.992924249153891</v>
      </c>
      <c r="D379" s="51">
        <f t="shared" si="44"/>
        <v>25.181830989452727</v>
      </c>
      <c r="E379" s="51">
        <f>((Calibration!$O$64-1)*F379*Calibration!$B$63/7)</f>
        <v>5.0236978107244443</v>
      </c>
      <c r="F379" s="51">
        <f t="shared" si="45"/>
        <v>47.409965588652881</v>
      </c>
      <c r="G379" s="51">
        <f t="shared" si="46"/>
        <v>52.433663399377323</v>
      </c>
      <c r="H379" s="51">
        <f t="shared" si="47"/>
        <v>47.566336600622677</v>
      </c>
      <c r="I379" s="25">
        <f t="shared" si="49"/>
        <v>13.999999999999952</v>
      </c>
    </row>
    <row r="380" spans="1:9">
      <c r="A380" s="25">
        <f t="shared" si="48"/>
        <v>13.899999999999952</v>
      </c>
      <c r="B380" s="51">
        <f>(Calibration!$O$63*Calibration!$B$49*SQRT(I380+Calibration!$F$61-Calibration!$F$63))-((0.32989795*(I380+Calibration!$F$61-Calibration!$F$63))-1.302)</f>
        <v>22.17057188985542</v>
      </c>
      <c r="C380" s="51">
        <f>I380*Calibration!$B$50*Calibration!$O$63*Calibration!$B$71/12500*'Degradation Model'!$B$26/Calibration!$B$61</f>
        <v>16.871546218802791</v>
      </c>
      <c r="D380" s="51">
        <f t="shared" si="44"/>
        <v>24.928486068219563</v>
      </c>
      <c r="E380" s="51">
        <f>((Calibration!$O$64-1)*F380*Calibration!$B$63/7)</f>
        <v>4.9907531341426594</v>
      </c>
      <c r="F380" s="51">
        <f t="shared" si="45"/>
        <v>47.09905795807498</v>
      </c>
      <c r="G380" s="51">
        <f t="shared" si="46"/>
        <v>52.089811092217637</v>
      </c>
      <c r="H380" s="51">
        <f t="shared" si="47"/>
        <v>47.910188907782363</v>
      </c>
      <c r="I380" s="25">
        <f t="shared" si="49"/>
        <v>13.899999999999952</v>
      </c>
    </row>
    <row r="381" spans="1:9">
      <c r="A381" s="25">
        <f t="shared" si="48"/>
        <v>13.799999999999953</v>
      </c>
      <c r="B381" s="51">
        <f>(Calibration!$O$63*Calibration!$B$49*SQRT(I381+Calibration!$F$61-Calibration!$F$63))-((0.32989795*(I381+Calibration!$F$61-Calibration!$F$63))-1.302)</f>
        <v>22.112686556940652</v>
      </c>
      <c r="C381" s="51">
        <f>I381*Calibration!$B$50*Calibration!$O$63*Calibration!$B$71/12500*'Degradation Model'!$B$26/Calibration!$B$61</f>
        <v>16.750168188451692</v>
      </c>
      <c r="D381" s="51">
        <f t="shared" si="44"/>
        <v>24.676937952225828</v>
      </c>
      <c r="E381" s="51">
        <f>((Calibration!$O$64-1)*F381*Calibration!$B$63/7)</f>
        <v>4.9579646661371353</v>
      </c>
      <c r="F381" s="51">
        <f t="shared" si="45"/>
        <v>46.78962450916648</v>
      </c>
      <c r="G381" s="51">
        <f t="shared" si="46"/>
        <v>51.747589175303617</v>
      </c>
      <c r="H381" s="51">
        <f t="shared" si="47"/>
        <v>48.252410824696383</v>
      </c>
      <c r="I381" s="25">
        <f t="shared" si="49"/>
        <v>13.799999999999953</v>
      </c>
    </row>
    <row r="382" spans="1:9">
      <c r="A382" s="25">
        <f t="shared" si="48"/>
        <v>13.699999999999953</v>
      </c>
      <c r="B382" s="51">
        <f>(Calibration!$O$63*Calibration!$B$49*SQRT(I382+Calibration!$F$61-Calibration!$F$63))-((0.32989795*(I382+Calibration!$F$61-Calibration!$F$63))-1.302)</f>
        <v>22.054475127322277</v>
      </c>
      <c r="C382" s="51">
        <f>I382*Calibration!$B$50*Calibration!$O$63*Calibration!$B$71/12500*'Degradation Model'!$B$26/Calibration!$B$61</f>
        <v>16.628790158100596</v>
      </c>
      <c r="D382" s="51">
        <f t="shared" si="44"/>
        <v>24.427153163471846</v>
      </c>
      <c r="E382" s="51">
        <f>((Calibration!$O$64-1)*F382*Calibration!$B$63/7)</f>
        <v>4.9253284912583464</v>
      </c>
      <c r="F382" s="51">
        <f t="shared" si="45"/>
        <v>46.48162829079412</v>
      </c>
      <c r="G382" s="51">
        <f t="shared" si="46"/>
        <v>51.406956782052468</v>
      </c>
      <c r="H382" s="51">
        <f t="shared" si="47"/>
        <v>48.593043217947532</v>
      </c>
      <c r="I382" s="25">
        <f t="shared" si="49"/>
        <v>13.699999999999953</v>
      </c>
    </row>
    <row r="383" spans="1:9">
      <c r="A383" s="25">
        <f t="shared" si="48"/>
        <v>13.599999999999953</v>
      </c>
      <c r="B383" s="51">
        <f>(Calibration!$O$63*Calibration!$B$49*SQRT(I383+Calibration!$F$61-Calibration!$F$63))-((0.32989795*(I383+Calibration!$F$61-Calibration!$F$63))-1.302)</f>
        <v>21.9959340651004</v>
      </c>
      <c r="C383" s="51">
        <f>I383*Calibration!$B$50*Calibration!$O$63*Calibration!$B$71/12500*'Degradation Model'!$B$26/Calibration!$B$61</f>
        <v>16.507412127749497</v>
      </c>
      <c r="D383" s="51">
        <f t="shared" si="44"/>
        <v>24.179099296459317</v>
      </c>
      <c r="E383" s="51">
        <f>((Calibration!$O$64-1)*F383*Calibration!$B$63/7)</f>
        <v>4.892840801051233</v>
      </c>
      <c r="F383" s="51">
        <f t="shared" si="45"/>
        <v>46.175033361559713</v>
      </c>
      <c r="G383" s="51">
        <f t="shared" si="46"/>
        <v>51.067874162610948</v>
      </c>
      <c r="H383" s="51">
        <f t="shared" si="47"/>
        <v>48.932125837389052</v>
      </c>
      <c r="I383" s="25">
        <f t="shared" si="49"/>
        <v>13.599999999999953</v>
      </c>
    </row>
    <row r="384" spans="1:9">
      <c r="A384" s="25">
        <f t="shared" ref="A384:A415" si="50">A383-0.1</f>
        <v>13.499999999999954</v>
      </c>
      <c r="B384" s="51">
        <f>(Calibration!$O$63*Calibration!$B$49*SQRT(I384+Calibration!$F$61-Calibration!$F$63))-((0.32989795*(I384+Calibration!$F$61-Calibration!$F$63))-1.302)</f>
        <v>21.93705977000922</v>
      </c>
      <c r="C384" s="51">
        <f>I384*Calibration!$B$50*Calibration!$O$63*Calibration!$B$71/12500*'Degradation Model'!$B$26/Calibration!$B$61</f>
        <v>16.386034097398397</v>
      </c>
      <c r="D384" s="51">
        <f t="shared" si="44"/>
        <v>23.932744971526599</v>
      </c>
      <c r="E384" s="51">
        <f>((Calibration!$O$64-1)*F384*Calibration!$B$63/7)</f>
        <v>4.8604978889409676</v>
      </c>
      <c r="F384" s="51">
        <f t="shared" si="45"/>
        <v>45.869804741535816</v>
      </c>
      <c r="G384" s="51">
        <f t="shared" si="46"/>
        <v>50.730302630476785</v>
      </c>
      <c r="H384" s="51">
        <f t="shared" si="47"/>
        <v>49.269697369523215</v>
      </c>
      <c r="I384" s="25">
        <f t="shared" ref="I384:I415" si="51">I383-0.1</f>
        <v>13.499999999999954</v>
      </c>
    </row>
    <row r="385" spans="1:9">
      <c r="A385" s="25">
        <f t="shared" si="50"/>
        <v>13.399999999999954</v>
      </c>
      <c r="B385" s="51">
        <f>(Calibration!$O$63*Calibration!$B$49*SQRT(I385+Calibration!$F$61-Calibration!$F$63))-((0.32989795*(I385+Calibration!$F$61-Calibration!$F$63))-1.302)</f>
        <v>21.87784857576461</v>
      </c>
      <c r="C385" s="51">
        <f>I385*Calibration!$B$50*Calibration!$O$63*Calibration!$B$71/12500*'Degradation Model'!$B$26/Calibration!$B$61</f>
        <v>16.264656067047294</v>
      </c>
      <c r="D385" s="51">
        <f t="shared" si="44"/>
        <v>23.688059790779366</v>
      </c>
      <c r="E385" s="51">
        <f>((Calibration!$O$64-1)*F385*Calibration!$B$63/7)</f>
        <v>4.8282961453881521</v>
      </c>
      <c r="F385" s="51">
        <f t="shared" si="45"/>
        <v>45.565908366543979</v>
      </c>
      <c r="G385" s="51">
        <f t="shared" si="46"/>
        <v>50.394204511932131</v>
      </c>
      <c r="H385" s="51">
        <f t="shared" si="47"/>
        <v>49.605795488067869</v>
      </c>
      <c r="I385" s="25">
        <f t="shared" si="51"/>
        <v>13.399999999999954</v>
      </c>
    </row>
    <row r="386" spans="1:9">
      <c r="A386" s="25">
        <f t="shared" si="50"/>
        <v>13.299999999999955</v>
      </c>
      <c r="B386" s="51">
        <f>(Calibration!$O$63*Calibration!$B$49*SQRT(I386+Calibration!$F$61-Calibration!$F$63))-((0.32989795*(I386+Calibration!$F$61-Calibration!$F$63))-1.302)</f>
        <v>21.818296748356783</v>
      </c>
      <c r="C386" s="51">
        <f>I386*Calibration!$B$50*Calibration!$O$63*Calibration!$B$71/12500*'Degradation Model'!$B$26/Calibration!$B$61</f>
        <v>16.143278036696199</v>
      </c>
      <c r="D386" s="51">
        <f t="shared" si="44"/>
        <v>23.445014296442992</v>
      </c>
      <c r="E386" s="51">
        <f>((Calibration!$O$64-1)*F386*Calibration!$B$63/7)</f>
        <v>4.7962320532947951</v>
      </c>
      <c r="F386" s="51">
        <f t="shared" si="45"/>
        <v>45.263311044799778</v>
      </c>
      <c r="G386" s="51">
        <f t="shared" si="46"/>
        <v>50.059543098094572</v>
      </c>
      <c r="H386" s="51">
        <f t="shared" si="47"/>
        <v>49.940456901905428</v>
      </c>
      <c r="I386" s="25">
        <f t="shared" si="51"/>
        <v>13.299999999999955</v>
      </c>
    </row>
    <row r="387" spans="1:9">
      <c r="A387" s="25">
        <f t="shared" si="50"/>
        <v>13.199999999999955</v>
      </c>
      <c r="B387" s="51">
        <f>(Calibration!$O$63*Calibration!$B$49*SQRT(I387+Calibration!$F$61-Calibration!$F$63))-((0.32989795*(I387+Calibration!$F$61-Calibration!$F$63))-1.302)</f>
        <v>21.758400484285726</v>
      </c>
      <c r="C387" s="51">
        <f>I387*Calibration!$B$50*Calibration!$O$63*Calibration!$B$71/12500*'Degradation Model'!$B$26/Calibration!$B$61</f>
        <v>16.021900006345096</v>
      </c>
      <c r="D387" s="51">
        <f t="shared" si="44"/>
        <v>23.203579931476682</v>
      </c>
      <c r="E387" s="51">
        <f>((Calibration!$O$64-1)*F387*Calibration!$B$63/7)</f>
        <v>4.7643021836438981</v>
      </c>
      <c r="F387" s="51">
        <f t="shared" si="45"/>
        <v>44.961980415762412</v>
      </c>
      <c r="G387" s="51">
        <f t="shared" si="46"/>
        <v>49.726282599406311</v>
      </c>
      <c r="H387" s="51">
        <f t="shared" si="47"/>
        <v>50.273717400593689</v>
      </c>
      <c r="I387" s="25">
        <f t="shared" si="51"/>
        <v>13.199999999999955</v>
      </c>
    </row>
    <row r="388" spans="1:9">
      <c r="A388" s="25">
        <f t="shared" si="50"/>
        <v>13.099999999999955</v>
      </c>
      <c r="B388" s="51">
        <f>(Calibration!$O$63*Calibration!$B$49*SQRT(I388+Calibration!$F$61-Calibration!$F$63))-((0.32989795*(I388+Calibration!$F$61-Calibration!$F$63))-1.302)</f>
        <v>21.698155908737132</v>
      </c>
      <c r="C388" s="51">
        <f>I388*Calibration!$B$50*Calibration!$O$63*Calibration!$B$71/12500*'Degradation Model'!$B$26/Calibration!$B$61</f>
        <v>15.900521975993996</v>
      </c>
      <c r="D388" s="51">
        <f t="shared" si="44"/>
        <v>22.963729002301715</v>
      </c>
      <c r="E388" s="51">
        <f>((Calibration!$O$64-1)*F388*Calibration!$B$63/7)</f>
        <v>4.7325031913567397</v>
      </c>
      <c r="F388" s="51">
        <f t="shared" si="45"/>
        <v>44.661884911038847</v>
      </c>
      <c r="G388" s="51">
        <f t="shared" si="46"/>
        <v>49.394388102395588</v>
      </c>
      <c r="H388" s="51">
        <f t="shared" si="47"/>
        <v>50.605611897604412</v>
      </c>
      <c r="I388" s="25">
        <f t="shared" si="51"/>
        <v>13.099999999999955</v>
      </c>
    </row>
    <row r="389" spans="1:9">
      <c r="A389" s="25">
        <f t="shared" si="50"/>
        <v>12.999999999999956</v>
      </c>
      <c r="B389" s="51">
        <f>(Calibration!$O$63*Calibration!$B$49*SQRT(I389+Calibration!$F$61-Calibration!$F$63))-((0.32989795*(I389+Calibration!$F$61-Calibration!$F$63))-1.302)</f>
        <v>21.637559073696238</v>
      </c>
      <c r="C389" s="51">
        <f>I389*Calibration!$B$50*Calibration!$O$63*Calibration!$B$71/12500*'Degradation Model'!$B$26/Calibration!$B$61</f>
        <v>15.7791439456429</v>
      </c>
      <c r="D389" s="51">
        <f t="shared" si="44"/>
        <v>22.725434643507395</v>
      </c>
      <c r="E389" s="51">
        <f>((Calibration!$O$64-1)*F389*Calibration!$B$63/7)</f>
        <v>4.7008318113531615</v>
      </c>
      <c r="F389" s="51">
        <f t="shared" si="45"/>
        <v>44.362993717203636</v>
      </c>
      <c r="G389" s="51">
        <f t="shared" si="46"/>
        <v>49.063825528556798</v>
      </c>
      <c r="H389" s="51">
        <f t="shared" si="47"/>
        <v>50.936174471443202</v>
      </c>
      <c r="I389" s="25">
        <f t="shared" si="51"/>
        <v>12.999999999999956</v>
      </c>
    </row>
    <row r="390" spans="1:9">
      <c r="A390" s="25">
        <f t="shared" si="50"/>
        <v>12.899999999999956</v>
      </c>
      <c r="B390" s="51">
        <f>(Calibration!$O$63*Calibration!$B$49*SQRT(I390+Calibration!$F$61-Calibration!$F$63))-((0.32989795*(I390+Calibration!$F$61-Calibration!$F$63))-1.302)</f>
        <v>21.576605955997103</v>
      </c>
      <c r="C390" s="51">
        <f>I390*Calibration!$B$50*Calibration!$O$63*Calibration!$B$71/12500*'Degradation Model'!$B$26/Calibration!$B$61</f>
        <v>15.657765915291799</v>
      </c>
      <c r="D390" s="51">
        <f t="shared" si="44"/>
        <v>22.488670784408644</v>
      </c>
      <c r="E390" s="51">
        <f>((Calibration!$O$64-1)*F390*Calibration!$B$63/7)</f>
        <v>4.6692848548012043</v>
      </c>
      <c r="F390" s="51">
        <f t="shared" si="45"/>
        <v>44.06527674040575</v>
      </c>
      <c r="G390" s="51">
        <f t="shared" si="46"/>
        <v>48.734561595206955</v>
      </c>
      <c r="H390" s="51">
        <f t="shared" si="47"/>
        <v>51.265438404793045</v>
      </c>
      <c r="I390" s="25">
        <f t="shared" si="51"/>
        <v>12.899999999999956</v>
      </c>
    </row>
    <row r="391" spans="1:9">
      <c r="A391" s="25">
        <f t="shared" si="50"/>
        <v>12.799999999999956</v>
      </c>
      <c r="B391" s="51">
        <f>(Calibration!$O$63*Calibration!$B$49*SQRT(I391+Calibration!$F$61-Calibration!$F$63))-((0.32989795*(I391+Calibration!$F$61-Calibration!$F$63))-1.302)</f>
        <v>21.515292455304493</v>
      </c>
      <c r="C391" s="51">
        <f>I391*Calibration!$B$50*Calibration!$O$63*Calibration!$B$71/12500*'Degradation Model'!$B$26/Calibration!$B$61</f>
        <v>15.5363878849407</v>
      </c>
      <c r="D391" s="51">
        <f t="shared" si="44"/>
        <v>22.253412117338581</v>
      </c>
      <c r="E391" s="51">
        <f>((Calibration!$O$64-1)*F391*Calibration!$B$63/7)</f>
        <v>4.6378592055434504</v>
      </c>
      <c r="F391" s="51">
        <f t="shared" si="45"/>
        <v>43.768704572643074</v>
      </c>
      <c r="G391" s="51">
        <f t="shared" si="46"/>
        <v>48.406563778186523</v>
      </c>
      <c r="H391" s="51">
        <f t="shared" si="47"/>
        <v>51.593436221813477</v>
      </c>
      <c r="I391" s="25">
        <f t="shared" si="51"/>
        <v>12.799999999999956</v>
      </c>
    </row>
    <row r="392" spans="1:9">
      <c r="A392" s="25">
        <f t="shared" si="50"/>
        <v>12.699999999999957</v>
      </c>
      <c r="B392" s="51">
        <f>(Calibration!$O$63*Calibration!$B$49*SQRT(I392+Calibration!$F$61-Calibration!$F$63))-((0.32989795*(I392+Calibration!$F$61-Calibration!$F$63))-1.302)</f>
        <v>21.453614392025568</v>
      </c>
      <c r="C392" s="51">
        <f>I392*Calibration!$B$50*Calibration!$O$63*Calibration!$B$71/12500*'Degradation Model'!$B$26/Calibration!$B$61</f>
        <v>15.4150098545896</v>
      </c>
      <c r="D392" s="51">
        <f t="shared" si="44"/>
        <v>22.019634067568035</v>
      </c>
      <c r="E392" s="51">
        <f>((Calibration!$O$64-1)*F392*Calibration!$B$63/7)</f>
        <v>4.6065518166883317</v>
      </c>
      <c r="F392" s="51">
        <f t="shared" si="45"/>
        <v>43.473248459593606</v>
      </c>
      <c r="G392" s="51">
        <f t="shared" si="46"/>
        <v>48.079800276281937</v>
      </c>
      <c r="H392" s="51">
        <f t="shared" si="47"/>
        <v>51.920199723718063</v>
      </c>
      <c r="I392" s="25">
        <f t="shared" si="51"/>
        <v>12.699999999999957</v>
      </c>
    </row>
    <row r="393" spans="1:9">
      <c r="A393" s="25">
        <f t="shared" si="50"/>
        <v>12.599999999999957</v>
      </c>
      <c r="B393" s="51">
        <f>(Calibration!$O$63*Calibration!$B$49*SQRT(I393+Calibration!$F$61-Calibration!$F$63))-((0.32989795*(I393+Calibration!$F$61-Calibration!$F$63))-1.302)</f>
        <v>21.39156750514832</v>
      </c>
      <c r="C393" s="51">
        <f>I393*Calibration!$B$50*Calibration!$O$63*Calibration!$B$71/12500*'Degradation Model'!$B$26/Calibration!$B$61</f>
        <v>15.293631824238505</v>
      </c>
      <c r="D393" s="51">
        <f t="shared" si="44"/>
        <v>21.787312764751803</v>
      </c>
      <c r="E393" s="51">
        <f>((Calibration!$O$64-1)*F393*Calibration!$B$63/7)</f>
        <v>4.5753597073554362</v>
      </c>
      <c r="F393" s="51">
        <f t="shared" si="45"/>
        <v>43.17888026990012</v>
      </c>
      <c r="G393" s="51">
        <f t="shared" si="46"/>
        <v>47.754239977255558</v>
      </c>
      <c r="H393" s="51">
        <f t="shared" si="47"/>
        <v>52.245760022744442</v>
      </c>
      <c r="I393" s="25">
        <f t="shared" si="51"/>
        <v>12.599999999999957</v>
      </c>
    </row>
    <row r="394" spans="1:9">
      <c r="A394" s="25">
        <f t="shared" si="50"/>
        <v>12.499999999999957</v>
      </c>
      <c r="B394" s="51">
        <f>(Calibration!$O$63*Calibration!$B$49*SQRT(I394+Calibration!$F$61-Calibration!$F$63))-((0.32989795*(I394+Calibration!$F$61-Calibration!$F$63))-1.302)</f>
        <v>21.329147450003649</v>
      </c>
      <c r="C394" s="51">
        <f>I394*Calibration!$B$50*Calibration!$O$63*Calibration!$B$71/12500*'Degradation Model'!$B$26/Calibration!$B$61</f>
        <v>15.172253793887403</v>
      </c>
      <c r="D394" s="51">
        <f t="shared" si="44"/>
        <v>21.556425015808763</v>
      </c>
      <c r="E394" s="51">
        <f>((Calibration!$O$64-1)*F394*Calibration!$B$63/7)</f>
        <v>4.5442799595646788</v>
      </c>
      <c r="F394" s="51">
        <f t="shared" si="45"/>
        <v>42.885572465812416</v>
      </c>
      <c r="G394" s="51">
        <f t="shared" si="46"/>
        <v>47.429852425377092</v>
      </c>
      <c r="H394" s="51">
        <f t="shared" si="47"/>
        <v>52.570147574622908</v>
      </c>
      <c r="I394" s="25">
        <f t="shared" si="51"/>
        <v>12.499999999999957</v>
      </c>
    </row>
    <row r="395" spans="1:9">
      <c r="A395" s="25">
        <f t="shared" si="50"/>
        <v>12.399999999999958</v>
      </c>
      <c r="B395" s="51">
        <f>(Calibration!$O$63*Calibration!$B$49*SQRT(I395+Calibration!$F$61-Calibration!$F$63))-((0.32989795*(I395+Calibration!$F$61-Calibration!$F$63))-1.302)</f>
        <v>21.26634979594769</v>
      </c>
      <c r="C395" s="51">
        <f>I395*Calibration!$B$50*Calibration!$O$63*Calibration!$B$71/12500*'Degradation Model'!$B$26/Calibration!$B$61</f>
        <v>15.050875763536304</v>
      </c>
      <c r="D395" s="51">
        <f t="shared" si="44"/>
        <v>21.326948279149487</v>
      </c>
      <c r="E395" s="51">
        <f>((Calibration!$O$64-1)*F395*Calibration!$B$63/7)</f>
        <v>4.5133097152597905</v>
      </c>
      <c r="F395" s="51">
        <f t="shared" si="45"/>
        <v>42.593298075097181</v>
      </c>
      <c r="G395" s="51">
        <f t="shared" si="46"/>
        <v>47.106607790356975</v>
      </c>
      <c r="H395" s="51">
        <f t="shared" si="47"/>
        <v>52.893392209643025</v>
      </c>
      <c r="I395" s="25">
        <f t="shared" si="51"/>
        <v>12.399999999999958</v>
      </c>
    </row>
    <row r="396" spans="1:9">
      <c r="A396" s="25">
        <f t="shared" si="50"/>
        <v>12.299999999999958</v>
      </c>
      <c r="B396" s="51">
        <f>(Calibration!$O$63*Calibration!$B$49*SQRT(I396+Calibration!$F$61-Calibration!$F$63))-((0.32989795*(I396+Calibration!$F$61-Calibration!$F$63))-1.302)</f>
        <v>21.203170023960975</v>
      </c>
      <c r="C396" s="51">
        <f>I396*Calibration!$B$50*Calibration!$O$63*Calibration!$B$71/12500*'Degradation Model'!$B$26/Calibration!$B$61</f>
        <v>14.929497733185203</v>
      </c>
      <c r="D396" s="51">
        <f t="shared" si="44"/>
        <v>21.09886064017121</v>
      </c>
      <c r="E396" s="51">
        <f>((Calibration!$O$64-1)*F396*Calibration!$B$63/7)</f>
        <v>4.482446173457296</v>
      </c>
      <c r="F396" s="51">
        <f t="shared" si="45"/>
        <v>42.302030664132189</v>
      </c>
      <c r="G396" s="51">
        <f t="shared" si="46"/>
        <v>46.784476837589487</v>
      </c>
      <c r="H396" s="51">
        <f t="shared" si="47"/>
        <v>53.215523162410513</v>
      </c>
      <c r="I396" s="25">
        <f t="shared" si="51"/>
        <v>12.299999999999958</v>
      </c>
    </row>
    <row r="397" spans="1:9">
      <c r="A397" s="25">
        <f t="shared" si="50"/>
        <v>12.199999999999958</v>
      </c>
      <c r="B397" s="51">
        <f>(Calibration!$O$63*Calibration!$B$49*SQRT(I397+Calibration!$F$61-Calibration!$F$63))-((0.32989795*(I397+Calibration!$F$61-Calibration!$F$63))-1.302)</f>
        <v>21.139603524160663</v>
      </c>
      <c r="C397" s="51">
        <f>I397*Calibration!$B$50*Calibration!$O$63*Calibration!$B$71/12500*'Degradation Model'!$B$26/Calibration!$B$61</f>
        <v>14.808119702834107</v>
      </c>
      <c r="D397" s="51">
        <f t="shared" ref="D397:D460" si="52">D398+($C$518*100/H398)</f>
        <v>20.872140787945533</v>
      </c>
      <c r="E397" s="51">
        <f>((Calibration!$O$64-1)*F397*Calibration!$B$63/7)</f>
        <v>4.4516865875126657</v>
      </c>
      <c r="F397" s="51">
        <f t="shared" ref="F397:F460" si="53">B397+D397</f>
        <v>42.011744312106195</v>
      </c>
      <c r="G397" s="51">
        <f t="shared" ref="G397:G460" si="54">F397+E397</f>
        <v>46.463430899618864</v>
      </c>
      <c r="H397" s="51">
        <f t="shared" ref="H397:H460" si="55">IF(100-G397&lt;10,10,100-G397)</f>
        <v>53.536569100381136</v>
      </c>
      <c r="I397" s="25">
        <f t="shared" si="51"/>
        <v>12.199999999999958</v>
      </c>
    </row>
    <row r="398" spans="1:9">
      <c r="A398" s="25">
        <f t="shared" si="50"/>
        <v>12.099999999999959</v>
      </c>
      <c r="B398" s="51">
        <f>(Calibration!$O$63*Calibration!$B$49*SQRT(I398+Calibration!$F$61-Calibration!$F$63))-((0.32989795*(I398+Calibration!$F$61-Calibration!$F$63))-1.302)</f>
        <v>21.075645593221985</v>
      </c>
      <c r="C398" s="51">
        <f>I398*Calibration!$B$50*Calibration!$O$63*Calibration!$B$71/12500*'Degradation Model'!$B$26/Calibration!$B$61</f>
        <v>14.686741672483008</v>
      </c>
      <c r="D398" s="51">
        <f t="shared" si="52"/>
        <v>20.646767993029453</v>
      </c>
      <c r="E398" s="51">
        <f>((Calibration!$O$64-1)*F398*Calibration!$B$63/7)</f>
        <v>4.4210282624958728</v>
      </c>
      <c r="F398" s="51">
        <f t="shared" si="53"/>
        <v>41.722413586251434</v>
      </c>
      <c r="G398" s="51">
        <f t="shared" si="54"/>
        <v>46.143441848747308</v>
      </c>
      <c r="H398" s="51">
        <f t="shared" si="55"/>
        <v>53.856558151252692</v>
      </c>
      <c r="I398" s="25">
        <f t="shared" si="51"/>
        <v>12.099999999999959</v>
      </c>
    </row>
    <row r="399" spans="1:9">
      <c r="A399" s="25">
        <f t="shared" si="50"/>
        <v>11.999999999999959</v>
      </c>
      <c r="B399" s="51">
        <f>(Calibration!$O$63*Calibration!$B$49*SQRT(I399+Calibration!$F$61-Calibration!$F$63))-((0.32989795*(I399+Calibration!$F$61-Calibration!$F$63))-1.302)</f>
        <v>21.011291431704898</v>
      </c>
      <c r="C399" s="51">
        <f>I399*Calibration!$B$50*Calibration!$O$63*Calibration!$B$71/12500*'Degradation Model'!$B$26/Calibration!$B$61</f>
        <v>14.565363642131906</v>
      </c>
      <c r="D399" s="51">
        <f t="shared" si="52"/>
        <v>20.422722086335028</v>
      </c>
      <c r="E399" s="51">
        <f>((Calibration!$O$64-1)*F399*Calibration!$B$63/7)</f>
        <v>4.3904685526690903</v>
      </c>
      <c r="F399" s="51">
        <f t="shared" si="53"/>
        <v>41.434013518039926</v>
      </c>
      <c r="G399" s="51">
        <f t="shared" si="54"/>
        <v>45.824482070709017</v>
      </c>
      <c r="H399" s="51">
        <f t="shared" si="55"/>
        <v>54.175517929290983</v>
      </c>
      <c r="I399" s="25">
        <f t="shared" si="51"/>
        <v>11.999999999999959</v>
      </c>
    </row>
    <row r="400" spans="1:9">
      <c r="A400" s="25">
        <f t="shared" si="50"/>
        <v>11.899999999999959</v>
      </c>
      <c r="B400" s="51">
        <f>(Calibration!$O$63*Calibration!$B$49*SQRT(I400+Calibration!$F$61-Calibration!$F$63))-((0.32989795*(I400+Calibration!$F$61-Calibration!$F$63))-1.302)</f>
        <v>20.946536141281548</v>
      </c>
      <c r="C400" s="51">
        <f>I400*Calibration!$B$50*Calibration!$O$63*Calibration!$B$71/12500*'Degradation Model'!$B$26/Calibration!$B$61</f>
        <v>14.443985611780807</v>
      </c>
      <c r="D400" s="51">
        <f t="shared" si="52"/>
        <v>20.199983438997396</v>
      </c>
      <c r="E400" s="51">
        <f>((Calibration!$O$64-1)*F400*Calibration!$B$63/7)</f>
        <v>4.3600048590596598</v>
      </c>
      <c r="F400" s="51">
        <f t="shared" si="53"/>
        <v>41.146519580278948</v>
      </c>
      <c r="G400" s="51">
        <f t="shared" si="54"/>
        <v>45.506524439338605</v>
      </c>
      <c r="H400" s="51">
        <f t="shared" si="55"/>
        <v>54.493475560661395</v>
      </c>
      <c r="I400" s="25">
        <f t="shared" si="51"/>
        <v>11.899999999999959</v>
      </c>
    </row>
    <row r="401" spans="1:9">
      <c r="A401" s="25">
        <f t="shared" si="50"/>
        <v>11.79999999999996</v>
      </c>
      <c r="B401" s="51">
        <f>(Calibration!$O$63*Calibration!$B$49*SQRT(I401+Calibration!$F$61-Calibration!$F$63))-((0.32989795*(I401+Calibration!$F$61-Calibration!$F$63))-1.302)</f>
        <v>20.881374721860027</v>
      </c>
      <c r="C401" s="51">
        <f>I401*Calibration!$B$50*Calibration!$O$63*Calibration!$B$71/12500*'Degradation Model'!$B$26/Calibration!$B$61</f>
        <v>14.322607581429709</v>
      </c>
      <c r="D401" s="51">
        <f t="shared" si="52"/>
        <v>19.978532943184927</v>
      </c>
      <c r="E401" s="51">
        <f>((Calibration!$O$64-1)*F401*Calibration!$B$63/7)</f>
        <v>4.3296346271219015</v>
      </c>
      <c r="F401" s="51">
        <f t="shared" si="53"/>
        <v>40.859907665044958</v>
      </c>
      <c r="G401" s="51">
        <f t="shared" si="54"/>
        <v>45.189542292166863</v>
      </c>
      <c r="H401" s="51">
        <f t="shared" si="55"/>
        <v>54.810457707833137</v>
      </c>
      <c r="I401" s="25">
        <f t="shared" si="51"/>
        <v>11.79999999999996</v>
      </c>
    </row>
    <row r="402" spans="1:9">
      <c r="A402" s="25">
        <f t="shared" si="50"/>
        <v>11.69999999999996</v>
      </c>
      <c r="B402" s="51">
        <f>(Calibration!$O$63*Calibration!$B$49*SQRT(I402+Calibration!$F$61-Calibration!$F$63))-((0.32989795*(I402+Calibration!$F$61-Calibration!$F$63))-1.302)</f>
        <v>20.815802068599748</v>
      </c>
      <c r="C402" s="51">
        <f>I402*Calibration!$B$50*Calibration!$O$63*Calibration!$B$71/12500*'Degradation Model'!$B$26/Calibration!$B$61</f>
        <v>14.201229551078608</v>
      </c>
      <c r="D402" s="51">
        <f t="shared" si="52"/>
        <v>19.758351993798989</v>
      </c>
      <c r="E402" s="51">
        <f>((Calibration!$O$64-1)*F402*Calibration!$B$63/7)</f>
        <v>4.2993553444817127</v>
      </c>
      <c r="F402" s="51">
        <f t="shared" si="53"/>
        <v>40.574154062398733</v>
      </c>
      <c r="G402" s="51">
        <f t="shared" si="54"/>
        <v>44.873509406880444</v>
      </c>
      <c r="H402" s="51">
        <f t="shared" si="55"/>
        <v>55.126490593119556</v>
      </c>
      <c r="I402" s="25">
        <f t="shared" si="51"/>
        <v>11.69999999999996</v>
      </c>
    </row>
    <row r="403" spans="1:9">
      <c r="A403" s="25">
        <f t="shared" si="50"/>
        <v>11.599999999999961</v>
      </c>
      <c r="B403" s="51">
        <f>(Calibration!$O$63*Calibration!$B$49*SQRT(I403+Calibration!$F$61-Calibration!$F$63))-((0.32989795*(I403+Calibration!$F$61-Calibration!$F$63))-1.302)</f>
        <v>20.749812968813231</v>
      </c>
      <c r="C403" s="51">
        <f>I403*Calibration!$B$50*Calibration!$O$63*Calibration!$B$71/12500*'Degradation Model'!$B$26/Calibration!$B$61</f>
        <v>14.079851520727511</v>
      </c>
      <c r="D403" s="51">
        <f t="shared" si="52"/>
        <v>19.539422471014294</v>
      </c>
      <c r="E403" s="51">
        <f>((Calibration!$O$64-1)*F403*Calibration!$B$63/7)</f>
        <v>4.2691645387581962</v>
      </c>
      <c r="F403" s="51">
        <f t="shared" si="53"/>
        <v>40.289235439827522</v>
      </c>
      <c r="G403" s="51">
        <f t="shared" si="54"/>
        <v>44.558399978585719</v>
      </c>
      <c r="H403" s="51">
        <f t="shared" si="55"/>
        <v>55.441600021414281</v>
      </c>
      <c r="I403" s="25">
        <f t="shared" si="51"/>
        <v>11.599999999999961</v>
      </c>
    </row>
    <row r="404" spans="1:9">
      <c r="A404" s="25">
        <f t="shared" si="50"/>
        <v>11.499999999999961</v>
      </c>
      <c r="B404" s="51">
        <f>(Calibration!$O$63*Calibration!$B$49*SQRT(I404+Calibration!$F$61-Calibration!$F$63))-((0.32989795*(I404+Calibration!$F$61-Calibration!$F$63))-1.302)</f>
        <v>20.683402098749134</v>
      </c>
      <c r="C404" s="51">
        <f>I404*Calibration!$B$50*Calibration!$O$63*Calibration!$B$71/12500*'Degradation Model'!$B$26/Calibration!$B$61</f>
        <v>13.958473490376411</v>
      </c>
      <c r="D404" s="51">
        <f t="shared" si="52"/>
        <v>19.321726723613988</v>
      </c>
      <c r="E404" s="51">
        <f>((Calibration!$O$64-1)*F404*Calibration!$B$63/7)</f>
        <v>4.2390597754569157</v>
      </c>
      <c r="F404" s="51">
        <f t="shared" si="53"/>
        <v>40.005128822363119</v>
      </c>
      <c r="G404" s="51">
        <f t="shared" si="54"/>
        <v>44.244188597820035</v>
      </c>
      <c r="H404" s="51">
        <f t="shared" si="55"/>
        <v>55.755811402179965</v>
      </c>
      <c r="I404" s="25">
        <f t="shared" si="51"/>
        <v>11.499999999999961</v>
      </c>
    </row>
    <row r="405" spans="1:9">
      <c r="A405" s="25">
        <f t="shared" si="50"/>
        <v>11.399999999999961</v>
      </c>
      <c r="B405" s="51">
        <f>(Calibration!$O$63*Calibration!$B$49*SQRT(I405+Calibration!$F$61-Calibration!$F$63))-((0.32989795*(I405+Calibration!$F$61-Calibration!$F$63))-1.302)</f>
        <v>20.616564020250792</v>
      </c>
      <c r="C405" s="51">
        <f>I405*Calibration!$B$50*Calibration!$O$63*Calibration!$B$71/12500*'Degradation Model'!$B$26/Calibration!$B$61</f>
        <v>13.837095460025314</v>
      </c>
      <c r="D405" s="51">
        <f t="shared" si="52"/>
        <v>19.10524755307658</v>
      </c>
      <c r="E405" s="51">
        <f>((Calibration!$O$64-1)*F405*Calibration!$B$63/7)</f>
        <v>4.209038655929632</v>
      </c>
      <c r="F405" s="51">
        <f t="shared" si="53"/>
        <v>39.721811573327372</v>
      </c>
      <c r="G405" s="51">
        <f t="shared" si="54"/>
        <v>43.930850229257004</v>
      </c>
      <c r="H405" s="51">
        <f t="shared" si="55"/>
        <v>56.069149770742996</v>
      </c>
      <c r="I405" s="25">
        <f t="shared" si="51"/>
        <v>11.399999999999961</v>
      </c>
    </row>
    <row r="406" spans="1:9">
      <c r="A406" s="25">
        <f t="shared" si="50"/>
        <v>11.299999999999962</v>
      </c>
      <c r="B406" s="51">
        <f>(Calibration!$O$63*Calibration!$B$49*SQRT(I406+Calibration!$F$61-Calibration!$F$63))-((0.32989795*(I406+Calibration!$F$61-Calibration!$F$63))-1.302)</f>
        <v>20.549293177284429</v>
      </c>
      <c r="C406" s="51">
        <f>I406*Calibration!$B$50*Calibration!$O$63*Calibration!$B$71/12500*'Degradation Model'!$B$26/Calibration!$B$61</f>
        <v>13.715717429674212</v>
      </c>
      <c r="D406" s="51">
        <f t="shared" si="52"/>
        <v>18.889968198374621</v>
      </c>
      <c r="E406" s="51">
        <f>((Calibration!$O$64-1)*F406*Calibration!$B$63/7)</f>
        <v>4.1790988153956441</v>
      </c>
      <c r="F406" s="51">
        <f t="shared" si="53"/>
        <v>39.439261375659051</v>
      </c>
      <c r="G406" s="51">
        <f t="shared" si="54"/>
        <v>43.618360191054691</v>
      </c>
      <c r="H406" s="51">
        <f t="shared" si="55"/>
        <v>56.381639808945309</v>
      </c>
      <c r="I406" s="25">
        <f t="shared" si="51"/>
        <v>11.299999999999962</v>
      </c>
    </row>
    <row r="407" spans="1:9">
      <c r="A407" s="25">
        <f t="shared" si="50"/>
        <v>11.199999999999962</v>
      </c>
      <c r="B407" s="51">
        <f>(Calibration!$O$63*Calibration!$B$49*SQRT(I407+Calibration!$F$61-Calibration!$F$63))-((0.32989795*(I407+Calibration!$F$61-Calibration!$F$63))-1.302)</f>
        <v>20.48158389233069</v>
      </c>
      <c r="C407" s="51">
        <f>I407*Calibration!$B$50*Calibration!$O$63*Calibration!$B$71/12500*'Degradation Model'!$B$26/Calibration!$B$61</f>
        <v>13.594339399323113</v>
      </c>
      <c r="D407" s="51">
        <f t="shared" si="52"/>
        <v>18.675872321447496</v>
      </c>
      <c r="E407" s="51">
        <f>((Calibration!$O$64-1)*F407*Calibration!$B$63/7)</f>
        <v>4.1492379210200836</v>
      </c>
      <c r="F407" s="51">
        <f t="shared" si="53"/>
        <v>39.15745621377819</v>
      </c>
      <c r="G407" s="51">
        <f t="shared" si="54"/>
        <v>43.306694134798271</v>
      </c>
      <c r="H407" s="51">
        <f t="shared" si="55"/>
        <v>56.693305865201729</v>
      </c>
      <c r="I407" s="25">
        <f t="shared" si="51"/>
        <v>11.199999999999962</v>
      </c>
    </row>
    <row r="408" spans="1:9">
      <c r="A408" s="25">
        <f t="shared" si="50"/>
        <v>11.099999999999962</v>
      </c>
      <c r="B408" s="51">
        <f>(Calibration!$O$63*Calibration!$B$49*SQRT(I408+Calibration!$F$61-Calibration!$F$63))-((0.32989795*(I408+Calibration!$F$61-Calibration!$F$63))-1.302)</f>
        <v>20.413430362632909</v>
      </c>
      <c r="C408" s="51">
        <f>I408*Calibration!$B$50*Calibration!$O$63*Calibration!$B$71/12500*'Degradation Model'!$B$26/Calibration!$B$61</f>
        <v>13.472961368972012</v>
      </c>
      <c r="D408" s="51">
        <f t="shared" si="52"/>
        <v>18.462943993313157</v>
      </c>
      <c r="E408" s="51">
        <f>((Calibration!$O$64-1)*F408*Calibration!$B$63/7)</f>
        <v>4.1194536700447246</v>
      </c>
      <c r="F408" s="51">
        <f t="shared" si="53"/>
        <v>38.876374355946069</v>
      </c>
      <c r="G408" s="51">
        <f t="shared" si="54"/>
        <v>42.995828025990797</v>
      </c>
      <c r="H408" s="51">
        <f t="shared" si="55"/>
        <v>57.004171974009203</v>
      </c>
      <c r="I408" s="25">
        <f t="shared" si="51"/>
        <v>11.099999999999962</v>
      </c>
    </row>
    <row r="409" spans="1:9">
      <c r="A409" s="25">
        <f t="shared" si="50"/>
        <v>10.999999999999963</v>
      </c>
      <c r="B409" s="51">
        <f>(Calibration!$O$63*Calibration!$B$49*SQRT(I409+Calibration!$F$61-Calibration!$F$63))-((0.32989795*(I409+Calibration!$F$61-Calibration!$F$63))-1.302)</f>
        <v>20.344826656295087</v>
      </c>
      <c r="C409" s="51">
        <f>I409*Calibration!$B$50*Calibration!$O$63*Calibration!$B$71/12500*'Degradation Model'!$B$26/Calibration!$B$61</f>
        <v>13.351583338620914</v>
      </c>
      <c r="D409" s="51">
        <f t="shared" si="52"/>
        <v>18.251167680785741</v>
      </c>
      <c r="E409" s="51">
        <f>((Calibration!$O$64-1)*F409*Calibration!$B$63/7)</f>
        <v>4.0897437879670768</v>
      </c>
      <c r="F409" s="51">
        <f t="shared" si="53"/>
        <v>38.595994337080825</v>
      </c>
      <c r="G409" s="51">
        <f t="shared" si="54"/>
        <v>42.685738125047905</v>
      </c>
      <c r="H409" s="51">
        <f t="shared" si="55"/>
        <v>57.314261874952095</v>
      </c>
      <c r="I409" s="25">
        <f t="shared" si="51"/>
        <v>10.999999999999963</v>
      </c>
    </row>
    <row r="410" spans="1:9">
      <c r="A410" s="25">
        <f t="shared" si="50"/>
        <v>10.899999999999963</v>
      </c>
      <c r="B410" s="51">
        <f>(Calibration!$O$63*Calibration!$B$49*SQRT(I410+Calibration!$F$61-Calibration!$F$63))-((0.32989795*(I410+Calibration!$F$61-Calibration!$F$63))-1.302)</f>
        <v>20.27576670822215</v>
      </c>
      <c r="C410" s="51">
        <f>I410*Calibration!$B$50*Calibration!$O$63*Calibration!$B$71/12500*'Degradation Model'!$B$26/Calibration!$B$61</f>
        <v>13.230205308269817</v>
      </c>
      <c r="D410" s="51">
        <f t="shared" si="52"/>
        <v>18.040528233768097</v>
      </c>
      <c r="E410" s="51">
        <f>((Calibration!$O$64-1)*F410*Calibration!$B$63/7)</f>
        <v>4.0601060267636857</v>
      </c>
      <c r="F410" s="51">
        <f t="shared" si="53"/>
        <v>38.31629494199025</v>
      </c>
      <c r="G410" s="51">
        <f t="shared" si="54"/>
        <v>42.376400968753934</v>
      </c>
      <c r="H410" s="51">
        <f t="shared" si="55"/>
        <v>57.623599031246066</v>
      </c>
      <c r="I410" s="25">
        <f t="shared" si="51"/>
        <v>10.899999999999963</v>
      </c>
    </row>
    <row r="411" spans="1:9">
      <c r="A411" s="25">
        <f t="shared" si="50"/>
        <v>10.799999999999963</v>
      </c>
      <c r="B411" s="51">
        <f>(Calibration!$O$63*Calibration!$B$49*SQRT(I411+Calibration!$F$61-Calibration!$F$63))-((0.32989795*(I411+Calibration!$F$61-Calibration!$F$63))-1.302)</f>
        <v>20.206244315894615</v>
      </c>
      <c r="C411" s="51">
        <f>I411*Calibration!$B$50*Calibration!$O$63*Calibration!$B$71/12500*'Degradation Model'!$B$26/Calibration!$B$61</f>
        <v>13.108827277918717</v>
      </c>
      <c r="D411" s="51">
        <f t="shared" si="52"/>
        <v>17.831010873090172</v>
      </c>
      <c r="E411" s="51">
        <f>((Calibration!$O$64-1)*F411*Calibration!$B$63/7)</f>
        <v>4.0305381631537163</v>
      </c>
      <c r="F411" s="51">
        <f t="shared" si="53"/>
        <v>38.037255188984787</v>
      </c>
      <c r="G411" s="51">
        <f t="shared" si="54"/>
        <v>42.067793352138501</v>
      </c>
      <c r="H411" s="51">
        <f t="shared" si="55"/>
        <v>57.932206647861499</v>
      </c>
      <c r="I411" s="25">
        <f t="shared" si="51"/>
        <v>10.799999999999963</v>
      </c>
    </row>
    <row r="412" spans="1:9">
      <c r="A412" s="25">
        <f t="shared" si="50"/>
        <v>10.699999999999964</v>
      </c>
      <c r="B412" s="51">
        <f>(Calibration!$O$63*Calibration!$B$49*SQRT(I412+Calibration!$F$61-Calibration!$F$63))-((0.32989795*(I412+Calibration!$F$61-Calibration!$F$63))-1.302)</f>
        <v>20.136253134969373</v>
      </c>
      <c r="C412" s="51">
        <f>I412*Calibration!$B$50*Calibration!$O$63*Calibration!$B$71/12500*'Degradation Model'!$B$26/Calibration!$B$61</f>
        <v>12.987449247567616</v>
      </c>
      <c r="D412" s="51">
        <f t="shared" si="52"/>
        <v>17.622601178865906</v>
      </c>
      <c r="E412" s="51">
        <f>((Calibration!$O$64-1)*F412*Calibration!$B$63/7)</f>
        <v>4.0010379968990692</v>
      </c>
      <c r="F412" s="51">
        <f t="shared" si="53"/>
        <v>37.758854313835279</v>
      </c>
      <c r="G412" s="51">
        <f t="shared" si="54"/>
        <v>41.759892310734351</v>
      </c>
      <c r="H412" s="51">
        <f t="shared" si="55"/>
        <v>58.240107689265649</v>
      </c>
      <c r="I412" s="25">
        <f t="shared" si="51"/>
        <v>10.699999999999964</v>
      </c>
    </row>
    <row r="413" spans="1:9">
      <c r="A413" s="25">
        <f t="shared" si="50"/>
        <v>10.599999999999964</v>
      </c>
      <c r="B413" s="51">
        <f>(Calibration!$O$63*Calibration!$B$49*SQRT(I413+Calibration!$F$61-Calibration!$F$63))-((0.32989795*(I413+Calibration!$F$61-Calibration!$F$63))-1.302)</f>
        <v>20.065786674697716</v>
      </c>
      <c r="C413" s="51">
        <f>I413*Calibration!$B$50*Calibration!$O$63*Calibration!$B$71/12500*'Degradation Model'!$B$26/Calibration!$B$61</f>
        <v>12.866071217216518</v>
      </c>
      <c r="D413" s="51">
        <f t="shared" si="52"/>
        <v>17.415285079343022</v>
      </c>
      <c r="E413" s="51">
        <f>((Calibration!$O$64-1)*F413*Calibration!$B$63/7)</f>
        <v>3.9716033491373497</v>
      </c>
      <c r="F413" s="51">
        <f t="shared" si="53"/>
        <v>37.481071754040741</v>
      </c>
      <c r="G413" s="51">
        <f t="shared" si="54"/>
        <v>41.452675103178088</v>
      </c>
      <c r="H413" s="51">
        <f t="shared" si="55"/>
        <v>58.547324896821912</v>
      </c>
      <c r="I413" s="25">
        <f t="shared" si="51"/>
        <v>10.599999999999964</v>
      </c>
    </row>
    <row r="414" spans="1:9">
      <c r="A414" s="25">
        <f t="shared" si="50"/>
        <v>10.499999999999964</v>
      </c>
      <c r="B414" s="51">
        <f>(Calibration!$O$63*Calibration!$B$49*SQRT(I414+Calibration!$F$61-Calibration!$F$63))-((0.32989795*(I414+Calibration!$F$61-Calibration!$F$63))-1.302)</f>
        <v>19.994838293151268</v>
      </c>
      <c r="C414" s="51">
        <f>I414*Calibration!$B$50*Calibration!$O$63*Calibration!$B$71/12500*'Degradation Model'!$B$26/Calibration!$B$61</f>
        <v>12.744693186865419</v>
      </c>
      <c r="D414" s="51">
        <f t="shared" si="52"/>
        <v>17.209048840221559</v>
      </c>
      <c r="E414" s="51">
        <f>((Calibration!$O$64-1)*F414*Calibration!$B$63/7)</f>
        <v>3.942232060744153</v>
      </c>
      <c r="F414" s="51">
        <f t="shared" si="53"/>
        <v>37.203887133372831</v>
      </c>
      <c r="G414" s="51">
        <f t="shared" si="54"/>
        <v>41.146119194116984</v>
      </c>
      <c r="H414" s="51">
        <f t="shared" si="55"/>
        <v>58.853880805883016</v>
      </c>
      <c r="I414" s="25">
        <f t="shared" si="51"/>
        <v>10.499999999999964</v>
      </c>
    </row>
    <row r="415" spans="1:9">
      <c r="A415" s="25">
        <f t="shared" si="50"/>
        <v>10.399999999999965</v>
      </c>
      <c r="B415" s="51">
        <f>(Calibration!$O$63*Calibration!$B$49*SQRT(I415+Calibration!$F$61-Calibration!$F$63))-((0.32989795*(I415+Calibration!$F$61-Calibration!$F$63))-1.302)</f>
        <v>19.923401192245855</v>
      </c>
      <c r="C415" s="51">
        <f>I415*Calibration!$B$50*Calibration!$O$63*Calibration!$B$71/12500*'Degradation Model'!$B$26/Calibration!$B$61</f>
        <v>12.62331515651432</v>
      </c>
      <c r="D415" s="51">
        <f t="shared" si="52"/>
        <v>17.003879054418498</v>
      </c>
      <c r="E415" s="51">
        <f>((Calibration!$O$64-1)*F415*Calibration!$B$63/7)</f>
        <v>3.9129219907212112</v>
      </c>
      <c r="F415" s="51">
        <f t="shared" si="53"/>
        <v>36.927280246664353</v>
      </c>
      <c r="G415" s="51">
        <f t="shared" si="54"/>
        <v>40.840202237385562</v>
      </c>
      <c r="H415" s="51">
        <f t="shared" si="55"/>
        <v>59.159797762614438</v>
      </c>
      <c r="I415" s="25">
        <f t="shared" si="51"/>
        <v>10.399999999999965</v>
      </c>
    </row>
    <row r="416" spans="1:9">
      <c r="A416" s="25">
        <f t="shared" ref="A416:A447" si="56">A415-0.1</f>
        <v>10.299999999999965</v>
      </c>
      <c r="B416" s="51">
        <f>(Calibration!$O$63*Calibration!$B$49*SQRT(I416+Calibration!$F$61-Calibration!$F$63))-((0.32989795*(I416+Calibration!$F$61-Calibration!$F$63))-1.302)</f>
        <v>19.851468412552855</v>
      </c>
      <c r="C416" s="51">
        <f>I416*Calibration!$B$50*Calibration!$O$63*Calibration!$B$71/12500*'Degradation Model'!$B$26/Calibration!$B$61</f>
        <v>12.50193712616322</v>
      </c>
      <c r="D416" s="51">
        <f t="shared" si="52"/>
        <v>16.799762632257114</v>
      </c>
      <c r="E416" s="51">
        <f>((Calibration!$O$64-1)*F416*Calibration!$B$63/7)</f>
        <v>3.8836710146070241</v>
      </c>
      <c r="F416" s="51">
        <f t="shared" si="53"/>
        <v>36.651231044809968</v>
      </c>
      <c r="G416" s="51">
        <f t="shared" si="54"/>
        <v>40.534902059416993</v>
      </c>
      <c r="H416" s="51">
        <f t="shared" si="55"/>
        <v>59.465097940583007</v>
      </c>
      <c r="I416" s="25">
        <f t="shared" ref="I416:I447" si="57">I415-0.1</f>
        <v>10.299999999999965</v>
      </c>
    </row>
    <row r="417" spans="1:9">
      <c r="A417" s="25">
        <f t="shared" si="56"/>
        <v>10.199999999999966</v>
      </c>
      <c r="B417" s="51">
        <f>(Calibration!$O$63*Calibration!$B$49*SQRT(I417+Calibration!$F$61-Calibration!$F$63))-((0.32989795*(I417+Calibration!$F$61-Calibration!$F$63))-1.302)</f>
        <v>19.779032827886638</v>
      </c>
      <c r="C417" s="51">
        <f>I417*Calibration!$B$50*Calibration!$O$63*Calibration!$B$71/12500*'Degradation Model'!$B$26/Calibration!$B$61</f>
        <v>12.380559095812123</v>
      </c>
      <c r="D417" s="51">
        <f t="shared" si="52"/>
        <v>16.596686792061014</v>
      </c>
      <c r="E417" s="51">
        <f>((Calibration!$O$64-1)*F417*Calibration!$B$63/7)</f>
        <v>3.8544770229066452</v>
      </c>
      <c r="F417" s="51">
        <f t="shared" si="53"/>
        <v>36.375719619947652</v>
      </c>
      <c r="G417" s="51">
        <f t="shared" si="54"/>
        <v>40.230196642854295</v>
      </c>
      <c r="H417" s="51">
        <f t="shared" si="55"/>
        <v>59.769803357145705</v>
      </c>
      <c r="I417" s="25">
        <f t="shared" si="57"/>
        <v>10.199999999999966</v>
      </c>
    </row>
    <row r="418" spans="1:9">
      <c r="A418" s="25">
        <f t="shared" si="56"/>
        <v>10.099999999999966</v>
      </c>
      <c r="B418" s="51">
        <f>(Calibration!$O$63*Calibration!$B$49*SQRT(I418+Calibration!$F$61-Calibration!$F$63))-((0.32989795*(I418+Calibration!$F$61-Calibration!$F$63))-1.302)</f>
        <v>19.706087139656439</v>
      </c>
      <c r="C418" s="51">
        <f>I418*Calibration!$B$50*Calibration!$O$63*Calibration!$B$71/12500*'Degradation Model'!$B$26/Calibration!$B$61</f>
        <v>12.259181065461023</v>
      </c>
      <c r="D418" s="51">
        <f t="shared" si="52"/>
        <v>16.394639051133908</v>
      </c>
      <c r="E418" s="51">
        <f>((Calibration!$O$64-1)*F418*Calibration!$B$63/7)</f>
        <v>3.825337919537378</v>
      </c>
      <c r="F418" s="51">
        <f t="shared" si="53"/>
        <v>36.100726190790347</v>
      </c>
      <c r="G418" s="51">
        <f t="shared" si="54"/>
        <v>39.926064110327722</v>
      </c>
      <c r="H418" s="51">
        <f t="shared" si="55"/>
        <v>60.073935889672278</v>
      </c>
      <c r="I418" s="25">
        <f t="shared" si="57"/>
        <v>10.099999999999966</v>
      </c>
    </row>
    <row r="419" spans="1:9">
      <c r="A419" s="25">
        <f t="shared" si="56"/>
        <v>9.9999999999999662</v>
      </c>
      <c r="B419" s="51">
        <f>(Calibration!$O$63*Calibration!$B$49*SQRT(I419+Calibration!$F$61-Calibration!$F$63))-((0.32989795*(I419+Calibration!$F$61-Calibration!$F$63))-1.302)</f>
        <v>19.632623870969699</v>
      </c>
      <c r="C419" s="51">
        <f>I419*Calibration!$B$50*Calibration!$O$63*Calibration!$B$71/12500*'Degradation Model'!$B$26/Calibration!$B$61</f>
        <v>12.137803035109922</v>
      </c>
      <c r="D419" s="51">
        <f t="shared" si="52"/>
        <v>16.193607217107346</v>
      </c>
      <c r="E419" s="51">
        <f>((Calibration!$O$64-1)*F419*Calibration!$B$63/7)</f>
        <v>3.7962516202871321</v>
      </c>
      <c r="F419" s="51">
        <f t="shared" si="53"/>
        <v>35.826231088077044</v>
      </c>
      <c r="G419" s="51">
        <f t="shared" si="54"/>
        <v>39.622482708364174</v>
      </c>
      <c r="H419" s="51">
        <f t="shared" si="55"/>
        <v>60.377517291635826</v>
      </c>
      <c r="I419" s="25">
        <f t="shared" si="57"/>
        <v>9.9999999999999662</v>
      </c>
    </row>
    <row r="420" spans="1:9">
      <c r="A420" s="25">
        <f t="shared" si="56"/>
        <v>9.8999999999999666</v>
      </c>
      <c r="B420" s="51">
        <f>(Calibration!$O$63*Calibration!$B$49*SQRT(I420+Calibration!$F$61-Calibration!$F$63))-((0.32989795*(I420+Calibration!$F$61-Calibration!$F$63))-1.302)</f>
        <v>19.558635360473716</v>
      </c>
      <c r="C420" s="51">
        <f>I420*Calibration!$B$50*Calibration!$O$63*Calibration!$B$71/12500*'Degradation Model'!$B$26/Calibration!$B$61</f>
        <v>12.016425004758823</v>
      </c>
      <c r="D420" s="51">
        <f t="shared" si="52"/>
        <v>15.993579379639614</v>
      </c>
      <c r="E420" s="51">
        <f>((Calibration!$O$64-1)*F420*Calibration!$B$63/7)</f>
        <v>3.7672160512822583</v>
      </c>
      <c r="F420" s="51">
        <f t="shared" si="53"/>
        <v>35.552214740113328</v>
      </c>
      <c r="G420" s="51">
        <f t="shared" si="54"/>
        <v>39.31943079139559</v>
      </c>
      <c r="H420" s="51">
        <f t="shared" si="55"/>
        <v>60.68056920860441</v>
      </c>
      <c r="I420" s="25">
        <f t="shared" si="57"/>
        <v>9.8999999999999666</v>
      </c>
    </row>
    <row r="421" spans="1:9">
      <c r="A421" s="25">
        <f t="shared" si="56"/>
        <v>9.799999999999967</v>
      </c>
      <c r="B421" s="51">
        <f>(Calibration!$O$63*Calibration!$B$49*SQRT(I421+Calibration!$F$61-Calibration!$F$63))-((0.32989795*(I421+Calibration!$F$61-Calibration!$F$63))-1.302)</f>
        <v>19.484113755920941</v>
      </c>
      <c r="C421" s="51">
        <f>I421*Calibration!$B$50*Calibration!$O$63*Calibration!$B$71/12500*'Degradation Model'!$B$26/Calibration!$B$61</f>
        <v>11.895046974407727</v>
      </c>
      <c r="D421" s="51">
        <f t="shared" si="52"/>
        <v>15.794543902450021</v>
      </c>
      <c r="E421" s="51">
        <f>((Calibration!$O$64-1)*F421*Calibration!$B$63/7)</f>
        <v>3.7382291474616358</v>
      </c>
      <c r="F421" s="51">
        <f t="shared" si="53"/>
        <v>35.27865765837096</v>
      </c>
      <c r="G421" s="51">
        <f t="shared" si="54"/>
        <v>39.016886805832598</v>
      </c>
      <c r="H421" s="51">
        <f t="shared" si="55"/>
        <v>60.983113194167402</v>
      </c>
      <c r="I421" s="25">
        <f t="shared" si="57"/>
        <v>9.799999999999967</v>
      </c>
    </row>
    <row r="422" spans="1:9">
      <c r="A422" s="25">
        <f t="shared" si="56"/>
        <v>9.6999999999999673</v>
      </c>
      <c r="B422" s="51">
        <f>(Calibration!$O$63*Calibration!$B$49*SQRT(I422+Calibration!$F$61-Calibration!$F$63))-((0.32989795*(I422+Calibration!$F$61-Calibration!$F$63))-1.302)</f>
        <v>19.409051007442848</v>
      </c>
      <c r="C422" s="51">
        <f>I422*Calibration!$B$50*Calibration!$O$63*Calibration!$B$71/12500*'Degradation Model'!$B$26/Calibration!$B$61</f>
        <v>11.773668944056626</v>
      </c>
      <c r="D422" s="51">
        <f t="shared" si="52"/>
        <v>15.596489415673624</v>
      </c>
      <c r="E422" s="51">
        <f>((Calibration!$O$64-1)*F422*Calibration!$B$63/7)</f>
        <v>3.7092888510538384</v>
      </c>
      <c r="F422" s="51">
        <f t="shared" si="53"/>
        <v>35.005540423116472</v>
      </c>
      <c r="G422" s="51">
        <f t="shared" si="54"/>
        <v>38.714829274170313</v>
      </c>
      <c r="H422" s="51">
        <f t="shared" si="55"/>
        <v>61.285170725829687</v>
      </c>
      <c r="I422" s="25">
        <f t="shared" si="57"/>
        <v>9.6999999999999673</v>
      </c>
    </row>
    <row r="423" spans="1:9">
      <c r="A423" s="25">
        <f t="shared" si="56"/>
        <v>9.5999999999999677</v>
      </c>
      <c r="B423" s="51">
        <f>(Calibration!$O$63*Calibration!$B$49*SQRT(I423+Calibration!$F$61-Calibration!$F$63))-((0.32989795*(I423+Calibration!$F$61-Calibration!$F$63))-1.302)</f>
        <v>19.333438860515962</v>
      </c>
      <c r="C423" s="51">
        <f>I423*Calibration!$B$50*Calibration!$O$63*Calibration!$B$71/12500*'Degradation Model'!$B$26/Calibration!$B$61</f>
        <v>11.652290913705524</v>
      </c>
      <c r="D423" s="51">
        <f t="shared" si="52"/>
        <v>15.399404808522398</v>
      </c>
      <c r="E423" s="51">
        <f>((Calibration!$O$64-1)*F423*Calibration!$B$63/7)</f>
        <v>3.6803931100541498</v>
      </c>
      <c r="F423" s="51">
        <f t="shared" si="53"/>
        <v>34.73284366903836</v>
      </c>
      <c r="G423" s="51">
        <f t="shared" si="54"/>
        <v>38.413236779092507</v>
      </c>
      <c r="H423" s="51">
        <f t="shared" si="55"/>
        <v>61.586763220907493</v>
      </c>
      <c r="I423" s="25">
        <f t="shared" si="57"/>
        <v>9.5999999999999677</v>
      </c>
    </row>
    <row r="424" spans="1:9">
      <c r="A424" s="25">
        <f t="shared" si="56"/>
        <v>9.499999999999968</v>
      </c>
      <c r="B424" s="51">
        <f>(Calibration!$O$63*Calibration!$B$49*SQRT(I424+Calibration!$F$61-Calibration!$F$63))-((0.32989795*(I424+Calibration!$F$61-Calibration!$F$63))-1.302)</f>
        <v>19.257268848602735</v>
      </c>
      <c r="C424" s="51">
        <f>I424*Calibration!$B$50*Calibration!$O$63*Calibration!$B$71/12500*'Degradation Model'!$B$26/Calibration!$B$61</f>
        <v>11.530912883354429</v>
      </c>
      <c r="D424" s="51">
        <f t="shared" si="52"/>
        <v>15.20327922223958</v>
      </c>
      <c r="E424" s="51">
        <f>((Calibration!$O$64-1)*F424*Calibration!$B$63/7)</f>
        <v>3.651539876698191</v>
      </c>
      <c r="F424" s="51">
        <f t="shared" si="53"/>
        <v>34.460548070842314</v>
      </c>
      <c r="G424" s="51">
        <f t="shared" si="54"/>
        <v>38.112087947540502</v>
      </c>
      <c r="H424" s="51">
        <f t="shared" si="55"/>
        <v>61.887912052459498</v>
      </c>
      <c r="I424" s="25">
        <f t="shared" si="57"/>
        <v>9.499999999999968</v>
      </c>
    </row>
    <row r="425" spans="1:9">
      <c r="A425" s="25">
        <f t="shared" si="56"/>
        <v>9.3999999999999684</v>
      </c>
      <c r="B425" s="51">
        <f>(Calibration!$O$63*Calibration!$B$49*SQRT(I425+Calibration!$F$61-Calibration!$F$63))-((0.32989795*(I425+Calibration!$F$61-Calibration!$F$63))-1.302)</f>
        <v>19.180532285448546</v>
      </c>
      <c r="C425" s="51">
        <f>I425*Calibration!$B$50*Calibration!$O$63*Calibration!$B$71/12500*'Degradation Model'!$B$26/Calibration!$B$61</f>
        <v>11.409534853003327</v>
      </c>
      <c r="D425" s="51">
        <f t="shared" si="52"/>
        <v>15.0081020433347</v>
      </c>
      <c r="E425" s="51">
        <f>((Calibration!$O$64-1)*F425*Calibration!$B$63/7)</f>
        <v>3.6227271059288531</v>
      </c>
      <c r="F425" s="51">
        <f t="shared" si="53"/>
        <v>34.188634328783245</v>
      </c>
      <c r="G425" s="51">
        <f t="shared" si="54"/>
        <v>37.811361434712097</v>
      </c>
      <c r="H425" s="51">
        <f t="shared" si="55"/>
        <v>62.188638565287903</v>
      </c>
      <c r="I425" s="25">
        <f t="shared" si="57"/>
        <v>9.3999999999999684</v>
      </c>
    </row>
    <row r="426" spans="1:9">
      <c r="A426" s="25">
        <f t="shared" si="56"/>
        <v>9.2999999999999687</v>
      </c>
      <c r="B426" s="51">
        <f>(Calibration!$O$63*Calibration!$B$49*SQRT(I426+Calibration!$F$61-Calibration!$F$63))-((0.32989795*(I426+Calibration!$F$61-Calibration!$F$63))-1.302)</f>
        <v>19.103220257015202</v>
      </c>
      <c r="C426" s="51">
        <f>I426*Calibration!$B$50*Calibration!$O$63*Calibration!$B$71/12500*'Degradation Model'!$B$26/Calibration!$B$61</f>
        <v>11.288156822652226</v>
      </c>
      <c r="D426" s="51">
        <f t="shared" si="52"/>
        <v>14.813862897087541</v>
      </c>
      <c r="E426" s="51">
        <f>((Calibration!$O$64-1)*F426*Calibration!$B$63/7)</f>
        <v>3.5939527538532086</v>
      </c>
      <c r="F426" s="51">
        <f t="shared" si="53"/>
        <v>33.917083154102741</v>
      </c>
      <c r="G426" s="51">
        <f t="shared" si="54"/>
        <v>37.51103590795595</v>
      </c>
      <c r="H426" s="51">
        <f t="shared" si="55"/>
        <v>62.48896409204405</v>
      </c>
      <c r="I426" s="25">
        <f t="shared" si="57"/>
        <v>9.2999999999999687</v>
      </c>
    </row>
    <row r="427" spans="1:9">
      <c r="A427" s="25">
        <f t="shared" si="56"/>
        <v>9.1999999999999691</v>
      </c>
      <c r="B427" s="51">
        <f>(Calibration!$O$63*Calibration!$B$49*SQRT(I427+Calibration!$F$61-Calibration!$F$63))-((0.32989795*(I427+Calibration!$F$61-Calibration!$F$63))-1.302)</f>
        <v>19.025323613029585</v>
      </c>
      <c r="C427" s="51">
        <f>I427*Calibration!$B$50*Calibration!$O$63*Calibration!$B$71/12500*'Degradation Model'!$B$26/Calibration!$B$61</f>
        <v>11.166778792301129</v>
      </c>
      <c r="D427" s="51">
        <f t="shared" si="52"/>
        <v>14.620551641309904</v>
      </c>
      <c r="E427" s="51">
        <f>((Calibration!$O$64-1)*F427*Calibration!$B$63/7)</f>
        <v>3.5652147761859578</v>
      </c>
      <c r="F427" s="51">
        <f t="shared" si="53"/>
        <v>33.645875254339487</v>
      </c>
      <c r="G427" s="51">
        <f t="shared" si="54"/>
        <v>37.211090030525448</v>
      </c>
      <c r="H427" s="51">
        <f t="shared" si="55"/>
        <v>62.788909969474552</v>
      </c>
      <c r="I427" s="25">
        <f t="shared" si="57"/>
        <v>9.1999999999999691</v>
      </c>
    </row>
    <row r="428" spans="1:9">
      <c r="A428" s="25">
        <f t="shared" si="56"/>
        <v>9.0999999999999694</v>
      </c>
      <c r="B428" s="51">
        <f>(Calibration!$O$63*Calibration!$B$49*SQRT(I428+Calibration!$F$61-Calibration!$F$63))-((0.32989795*(I428+Calibration!$F$61-Calibration!$F$63))-1.302)</f>
        <v>18.946832958124816</v>
      </c>
      <c r="C428" s="51">
        <f>I428*Calibration!$B$50*Calibration!$O$63*Calibration!$B$71/12500*'Degradation Model'!$B$26/Calibration!$B$61</f>
        <v>11.045400761950029</v>
      </c>
      <c r="D428" s="51">
        <f t="shared" si="52"/>
        <v>14.428158360354743</v>
      </c>
      <c r="E428" s="51">
        <f>((Calibration!$O$64-1)*F428*Calibration!$B$63/7)</f>
        <v>3.5365111266759137</v>
      </c>
      <c r="F428" s="51">
        <f t="shared" si="53"/>
        <v>33.374991318479559</v>
      </c>
      <c r="G428" s="51">
        <f t="shared" si="54"/>
        <v>36.91150244515547</v>
      </c>
      <c r="H428" s="51">
        <f t="shared" si="55"/>
        <v>63.08849755484453</v>
      </c>
      <c r="I428" s="25">
        <f t="shared" si="57"/>
        <v>9.0999999999999694</v>
      </c>
    </row>
    <row r="429" spans="1:9">
      <c r="A429" s="25">
        <f t="shared" si="56"/>
        <v>8.9999999999999698</v>
      </c>
      <c r="B429" s="51">
        <f>(Calibration!$O$63*Calibration!$B$49*SQRT(I429+Calibration!$F$61-Calibration!$F$63))-((0.32989795*(I429+Calibration!$F$61-Calibration!$F$63))-1.302)</f>
        <v>18.867738642549654</v>
      </c>
      <c r="C429" s="51">
        <f>I429*Calibration!$B$50*Calibration!$O$63*Calibration!$B$71/12500*'Degradation Model'!$B$26/Calibration!$B$61</f>
        <v>10.924022731598933</v>
      </c>
      <c r="D429" s="51">
        <f t="shared" si="52"/>
        <v>14.236673359362777</v>
      </c>
      <c r="E429" s="51">
        <f>((Calibration!$O$64-1)*F429*Calibration!$B$63/7)</f>
        <v>3.5078397555118954</v>
      </c>
      <c r="F429" s="51">
        <f t="shared" si="53"/>
        <v>33.104412001912429</v>
      </c>
      <c r="G429" s="51">
        <f t="shared" si="54"/>
        <v>36.612251757424325</v>
      </c>
      <c r="H429" s="51">
        <f t="shared" si="55"/>
        <v>63.387748242575675</v>
      </c>
      <c r="I429" s="25">
        <f t="shared" si="57"/>
        <v>8.9999999999999698</v>
      </c>
    </row>
    <row r="430" spans="1:9">
      <c r="A430" s="25">
        <f t="shared" si="56"/>
        <v>8.8999999999999702</v>
      </c>
      <c r="B430" s="51">
        <f>(Calibration!$O$63*Calibration!$B$49*SQRT(I430+Calibration!$F$61-Calibration!$F$63))-((0.32989795*(I430+Calibration!$F$61-Calibration!$F$63))-1.302)</f>
        <v>18.788030752420191</v>
      </c>
      <c r="C430" s="51">
        <f>I430*Calibration!$B$50*Calibration!$O$63*Calibration!$B$71/12500*'Degradation Model'!$B$26/Calibration!$B$61</f>
        <v>10.80264470124783</v>
      </c>
      <c r="D430" s="51">
        <f t="shared" si="52"/>
        <v>14.04608715873729</v>
      </c>
      <c r="E430" s="51">
        <f>((Calibration!$O$64-1)*F430*Calibration!$B$63/7)</f>
        <v>3.4791986077043044</v>
      </c>
      <c r="F430" s="51">
        <f t="shared" si="53"/>
        <v>32.834117911157477</v>
      </c>
      <c r="G430" s="51">
        <f t="shared" si="54"/>
        <v>36.313316518861782</v>
      </c>
      <c r="H430" s="51">
        <f t="shared" si="55"/>
        <v>63.686683481138218</v>
      </c>
      <c r="I430" s="25">
        <f t="shared" si="57"/>
        <v>8.8999999999999702</v>
      </c>
    </row>
    <row r="431" spans="1:9">
      <c r="A431" s="25">
        <f t="shared" si="56"/>
        <v>8.7999999999999705</v>
      </c>
      <c r="B431" s="51">
        <f>(Calibration!$O$63*Calibration!$B$49*SQRT(I431+Calibration!$F$61-Calibration!$F$63))-((0.32989795*(I431+Calibration!$F$61-Calibration!$F$63))-1.302)</f>
        <v>18.707699099485858</v>
      </c>
      <c r="C431" s="51">
        <f>I431*Calibration!$B$50*Calibration!$O$63*Calibration!$B$71/12500*'Degradation Model'!$B$26/Calibration!$B$61</f>
        <v>10.681266670896733</v>
      </c>
      <c r="D431" s="51">
        <f t="shared" si="52"/>
        <v>13.856390488838381</v>
      </c>
      <c r="E431" s="51">
        <f>((Calibration!$O$64-1)*F431*Calibration!$B$63/7)</f>
        <v>3.450585621438488</v>
      </c>
      <c r="F431" s="51">
        <f t="shared" si="53"/>
        <v>32.564089588324237</v>
      </c>
      <c r="G431" s="51">
        <f t="shared" si="54"/>
        <v>36.014675209762721</v>
      </c>
      <c r="H431" s="51">
        <f t="shared" si="55"/>
        <v>63.985324790237279</v>
      </c>
      <c r="I431" s="25">
        <f t="shared" si="57"/>
        <v>8.7999999999999705</v>
      </c>
    </row>
    <row r="432" spans="1:9">
      <c r="A432" s="25">
        <f t="shared" si="56"/>
        <v>8.6999999999999709</v>
      </c>
      <c r="B432" s="51">
        <f>(Calibration!$O$63*Calibration!$B$49*SQRT(I432+Calibration!$F$61-Calibration!$F$63))-((0.32989795*(I432+Calibration!$F$61-Calibration!$F$63))-1.302)</f>
        <v>18.626733210379939</v>
      </c>
      <c r="C432" s="51">
        <f>I432*Calibration!$B$50*Calibration!$O$63*Calibration!$B$71/12500*'Degradation Model'!$B$26/Calibration!$B$61</f>
        <v>10.559888640545633</v>
      </c>
      <c r="D432" s="51">
        <f t="shared" si="52"/>
        <v>13.667574284888405</v>
      </c>
      <c r="E432" s="51">
        <f>((Calibration!$O$64-1)*F432*Calibration!$B$63/7)</f>
        <v>3.4219987263958571</v>
      </c>
      <c r="F432" s="51">
        <f t="shared" si="53"/>
        <v>32.294307495268342</v>
      </c>
      <c r="G432" s="51">
        <f t="shared" si="54"/>
        <v>35.716306221664198</v>
      </c>
      <c r="H432" s="51">
        <f t="shared" si="55"/>
        <v>64.283693778335802</v>
      </c>
      <c r="I432" s="25">
        <f t="shared" si="57"/>
        <v>8.6999999999999709</v>
      </c>
    </row>
    <row r="433" spans="1:9">
      <c r="A433" s="25">
        <f t="shared" si="56"/>
        <v>8.5999999999999712</v>
      </c>
      <c r="B433" s="51">
        <f>(Calibration!$O$63*Calibration!$B$49*SQRT(I433+Calibration!$F$61-Calibration!$F$63))-((0.32989795*(I433+Calibration!$F$61-Calibration!$F$63))-1.302)</f>
        <v>18.54512231532242</v>
      </c>
      <c r="C433" s="51">
        <f>I433*Calibration!$B$50*Calibration!$O$63*Calibration!$B$71/12500*'Degradation Model'!$B$26/Calibration!$B$61</f>
        <v>10.438510610194534</v>
      </c>
      <c r="D433" s="51">
        <f t="shared" si="52"/>
        <v>13.479629682080851</v>
      </c>
      <c r="E433" s="51">
        <f>((Calibration!$O$64-1)*F433*Calibration!$B$63/7)</f>
        <v>3.3934358420385315</v>
      </c>
      <c r="F433" s="51">
        <f t="shared" si="53"/>
        <v>32.024751997403271</v>
      </c>
      <c r="G433" s="51">
        <f t="shared" si="54"/>
        <v>35.418187839441799</v>
      </c>
      <c r="H433" s="51">
        <f t="shared" si="55"/>
        <v>64.581812160558201</v>
      </c>
      <c r="I433" s="25">
        <f t="shared" si="57"/>
        <v>8.5999999999999712</v>
      </c>
    </row>
    <row r="434" spans="1:9">
      <c r="A434" s="25">
        <f t="shared" si="56"/>
        <v>8.4999999999999716</v>
      </c>
      <c r="B434" s="51">
        <f>(Calibration!$O$63*Calibration!$B$49*SQRT(I434+Calibration!$F$61-Calibration!$F$63))-((0.32989795*(I434+Calibration!$F$61-Calibration!$F$63))-1.302)</f>
        <v>18.462855336240803</v>
      </c>
      <c r="C434" s="51">
        <f>I434*Calibration!$B$50*Calibration!$O$63*Calibration!$B$71/12500*'Degradation Model'!$B$26/Calibration!$B$61</f>
        <v>10.317132579843433</v>
      </c>
      <c r="D434" s="51">
        <f t="shared" si="52"/>
        <v>13.29254801088539</v>
      </c>
      <c r="E434" s="51">
        <f>((Calibration!$O$64-1)*F434*Calibration!$B$63/7)</f>
        <v>3.3648948758530932</v>
      </c>
      <c r="F434" s="51">
        <f t="shared" si="53"/>
        <v>31.755403347126194</v>
      </c>
      <c r="G434" s="51">
        <f t="shared" si="54"/>
        <v>35.120298222979287</v>
      </c>
      <c r="H434" s="51">
        <f t="shared" si="55"/>
        <v>64.879701777020713</v>
      </c>
      <c r="I434" s="25">
        <f t="shared" si="57"/>
        <v>8.4999999999999716</v>
      </c>
    </row>
    <row r="435" spans="1:9">
      <c r="A435" s="25">
        <f t="shared" si="56"/>
        <v>8.3999999999999719</v>
      </c>
      <c r="B435" s="51">
        <f>(Calibration!$O$63*Calibration!$B$49*SQRT(I435+Calibration!$F$61-Calibration!$F$63))-((0.32989795*(I435+Calibration!$F$61-Calibration!$F$63))-1.302)</f>
        <v>18.379920874271612</v>
      </c>
      <c r="C435" s="51">
        <f>I435*Calibration!$B$50*Calibration!$O$63*Calibration!$B$71/12500*'Degradation Model'!$B$26/Calibration!$B$61</f>
        <v>10.195754549492335</v>
      </c>
      <c r="D435" s="51">
        <f t="shared" si="52"/>
        <v>13.10632079254222</v>
      </c>
      <c r="E435" s="51">
        <f>((Calibration!$O$64-1)*F435*Calibration!$B$63/7)</f>
        <v>3.3363737215487808</v>
      </c>
      <c r="F435" s="51">
        <f t="shared" si="53"/>
        <v>31.486241666813832</v>
      </c>
      <c r="G435" s="51">
        <f t="shared" si="54"/>
        <v>34.822615388362614</v>
      </c>
      <c r="H435" s="51">
        <f t="shared" si="55"/>
        <v>65.177384611637393</v>
      </c>
      <c r="I435" s="25">
        <f t="shared" si="57"/>
        <v>8.3999999999999719</v>
      </c>
    </row>
    <row r="436" spans="1:9">
      <c r="A436" s="25">
        <f t="shared" si="56"/>
        <v>8.2999999999999723</v>
      </c>
      <c r="B436" s="51">
        <f>(Calibration!$O$63*Calibration!$B$49*SQRT(I436+Calibration!$F$61-Calibration!$F$63))-((0.32989795*(I436+Calibration!$F$61-Calibration!$F$63))-1.302)</f>
        <v>18.296307196602854</v>
      </c>
      <c r="C436" s="51">
        <f>I436*Calibration!$B$50*Calibration!$O$63*Calibration!$B$71/12500*'Degradation Model'!$B$26/Calibration!$B$61</f>
        <v>10.074376519141236</v>
      </c>
      <c r="D436" s="51">
        <f t="shared" si="52"/>
        <v>12.920939734739319</v>
      </c>
      <c r="E436" s="51">
        <f>((Calibration!$O$64-1)*F436*Calibration!$B$63/7)</f>
        <v>3.3078702572052245</v>
      </c>
      <c r="F436" s="51">
        <f t="shared" si="53"/>
        <v>31.217246931342174</v>
      </c>
      <c r="G436" s="51">
        <f t="shared" si="54"/>
        <v>34.525117188547398</v>
      </c>
      <c r="H436" s="51">
        <f t="shared" si="55"/>
        <v>65.474882811452602</v>
      </c>
      <c r="I436" s="25">
        <f t="shared" si="57"/>
        <v>8.2999999999999723</v>
      </c>
    </row>
    <row r="437" spans="1:9">
      <c r="A437" s="25">
        <f t="shared" si="56"/>
        <v>8.1999999999999726</v>
      </c>
      <c r="B437" s="51">
        <f>(Calibration!$O$63*Calibration!$B$49*SQRT(I437+Calibration!$F$61-Calibration!$F$63))-((0.32989795*(I437+Calibration!$F$61-Calibration!$F$63))-1.302)</f>
        <v>18.212002222614363</v>
      </c>
      <c r="C437" s="51">
        <f>I437*Calibration!$B$50*Calibration!$O$63*Calibration!$B$71/12500*'Degradation Model'!$B$26/Calibration!$B$61</f>
        <v>9.9529984887901364</v>
      </c>
      <c r="D437" s="51">
        <f t="shared" si="52"/>
        <v>12.736396727466577</v>
      </c>
      <c r="E437" s="51">
        <f>((Calibration!$O$64-1)*F437*Calibration!$B$63/7)</f>
        <v>3.2793823433645319</v>
      </c>
      <c r="F437" s="51">
        <f t="shared" si="53"/>
        <v>30.948398950080939</v>
      </c>
      <c r="G437" s="51">
        <f t="shared" si="54"/>
        <v>34.227781293445474</v>
      </c>
      <c r="H437" s="51">
        <f t="shared" si="55"/>
        <v>65.772218706554526</v>
      </c>
      <c r="I437" s="25">
        <f t="shared" si="57"/>
        <v>8.1999999999999726</v>
      </c>
    </row>
    <row r="438" spans="1:9">
      <c r="A438" s="25">
        <f t="shared" si="56"/>
        <v>8.099999999999973</v>
      </c>
      <c r="B438" s="51">
        <f>(Calibration!$O$63*Calibration!$B$49*SQRT(I438+Calibration!$F$61-Calibration!$F$63))-((0.32989795*(I438+Calibration!$F$61-Calibration!$F$63))-1.302)</f>
        <v>18.126993509269695</v>
      </c>
      <c r="C438" s="51">
        <f>I438*Calibration!$B$50*Calibration!$O$63*Calibration!$B$71/12500*'Degradation Model'!$B$26/Calibration!$B$61</f>
        <v>9.831620458439037</v>
      </c>
      <c r="D438" s="51">
        <f t="shared" si="52"/>
        <v>12.552683839041212</v>
      </c>
      <c r="E438" s="51">
        <f>((Calibration!$O$64-1)*F438*Calibration!$B$63/7)</f>
        <v>3.2509078210622087</v>
      </c>
      <c r="F438" s="51">
        <f t="shared" si="53"/>
        <v>30.679677348310907</v>
      </c>
      <c r="G438" s="51">
        <f t="shared" si="54"/>
        <v>33.930585169373117</v>
      </c>
      <c r="H438" s="51">
        <f t="shared" si="55"/>
        <v>66.069414830626883</v>
      </c>
      <c r="I438" s="25">
        <f t="shared" si="57"/>
        <v>8.099999999999973</v>
      </c>
    </row>
    <row r="439" spans="1:9">
      <c r="A439" s="25">
        <f t="shared" si="56"/>
        <v>7.9999999999999734</v>
      </c>
      <c r="B439" s="51">
        <f>(Calibration!$O$63*Calibration!$B$49*SQRT(I439+Calibration!$F$61-Calibration!$F$63))-((0.32989795*(I439+Calibration!$F$61-Calibration!$F$63))-1.302)</f>
        <v>18.041268235709587</v>
      </c>
      <c r="C439" s="51">
        <f>I439*Calibration!$B$50*Calibration!$O$63*Calibration!$B$71/12500*'Degradation Model'!$B$26/Calibration!$B$61</f>
        <v>9.7102424280879376</v>
      </c>
      <c r="D439" s="51">
        <f t="shared" si="52"/>
        <v>12.369793312299221</v>
      </c>
      <c r="E439" s="51">
        <f>((Calibration!$O$64-1)*F439*Calibration!$B$63/7)</f>
        <v>3.2224445097910737</v>
      </c>
      <c r="F439" s="51">
        <f t="shared" si="53"/>
        <v>30.41106154800881</v>
      </c>
      <c r="G439" s="51">
        <f t="shared" si="54"/>
        <v>33.633506057799885</v>
      </c>
      <c r="H439" s="51">
        <f t="shared" si="55"/>
        <v>66.366493942200123</v>
      </c>
      <c r="I439" s="25">
        <f t="shared" si="57"/>
        <v>7.9999999999999734</v>
      </c>
    </row>
    <row r="440" spans="1:9">
      <c r="A440" s="25">
        <f t="shared" si="56"/>
        <v>7.8999999999999737</v>
      </c>
      <c r="B440" s="51">
        <f>(Calibration!$O$63*Calibration!$B$49*SQRT(I440+Calibration!$F$61-Calibration!$F$63))-((0.32989795*(I440+Calibration!$F$61-Calibration!$F$63))-1.302)</f>
        <v>17.954813186992961</v>
      </c>
      <c r="C440" s="51">
        <f>I440*Calibration!$B$50*Calibration!$O$63*Calibration!$B$71/12500*'Degradation Model'!$B$26/Calibration!$B$61</f>
        <v>9.5888643977368382</v>
      </c>
      <c r="D440" s="51">
        <f t="shared" si="52"/>
        <v>12.187717560948002</v>
      </c>
      <c r="E440" s="51">
        <f>((Calibration!$O$64-1)*F440*Calibration!$B$63/7)</f>
        <v>3.1939902053919198</v>
      </c>
      <c r="F440" s="51">
        <f t="shared" si="53"/>
        <v>30.142530747940963</v>
      </c>
      <c r="G440" s="51">
        <f t="shared" si="54"/>
        <v>33.336520953332879</v>
      </c>
      <c r="H440" s="51">
        <f t="shared" si="55"/>
        <v>66.663479046667121</v>
      </c>
      <c r="I440" s="25">
        <f t="shared" si="57"/>
        <v>7.8999999999999737</v>
      </c>
    </row>
    <row r="441" spans="1:9">
      <c r="A441" s="25">
        <f t="shared" si="56"/>
        <v>7.7999999999999741</v>
      </c>
      <c r="B441" s="51">
        <f>(Calibration!$O$63*Calibration!$B$49*SQRT(I441+Calibration!$F$61-Calibration!$F$63))-((0.32989795*(I441+Calibration!$F$61-Calibration!$F$63))-1.302)</f>
        <v>17.867614736927159</v>
      </c>
      <c r="C441" s="51">
        <f>I441*Calibration!$B$50*Calibration!$O$63*Calibration!$B$71/12500*'Degradation Model'!$B$26/Calibration!$B$61</f>
        <v>9.4674863673857388</v>
      </c>
      <c r="D441" s="51">
        <f t="shared" si="52"/>
        <v>12.00644916607564</v>
      </c>
      <c r="E441" s="51">
        <f>((Calibration!$O$64-1)*F441*Calibration!$B$63/7)</f>
        <v>3.1655426778642739</v>
      </c>
      <c r="F441" s="51">
        <f t="shared" si="53"/>
        <v>29.874063903002799</v>
      </c>
      <c r="G441" s="51">
        <f t="shared" si="54"/>
        <v>33.039606580867073</v>
      </c>
      <c r="H441" s="51">
        <f t="shared" si="55"/>
        <v>66.960393419132927</v>
      </c>
      <c r="I441" s="25">
        <f t="shared" si="57"/>
        <v>7.7999999999999741</v>
      </c>
    </row>
    <row r="442" spans="1:9">
      <c r="A442" s="25">
        <f t="shared" si="56"/>
        <v>7.6999999999999744</v>
      </c>
      <c r="B442" s="51">
        <f>(Calibration!$O$63*Calibration!$B$49*SQRT(I442+Calibration!$F$61-Calibration!$F$63))-((0.32989795*(I442+Calibration!$F$61-Calibration!$F$63))-1.302)</f>
        <v>17.779658829924202</v>
      </c>
      <c r="C442" s="51">
        <f>I442*Calibration!$B$50*Calibration!$O$63*Calibration!$B$71/12500*'Degradation Model'!$B$26/Calibration!$B$61</f>
        <v>9.3461083370346412</v>
      </c>
      <c r="D442" s="51">
        <f t="shared" si="52"/>
        <v>11.825980872812686</v>
      </c>
      <c r="E442" s="51">
        <f>((Calibration!$O$64-1)*F442*Calibration!$B$63/7)</f>
        <v>3.1370996690901003</v>
      </c>
      <c r="F442" s="51">
        <f t="shared" si="53"/>
        <v>29.605639702736887</v>
      </c>
      <c r="G442" s="51">
        <f t="shared" si="54"/>
        <v>32.742739371826985</v>
      </c>
      <c r="H442" s="51">
        <f t="shared" si="55"/>
        <v>67.257260628173015</v>
      </c>
      <c r="I442" s="25">
        <f t="shared" si="57"/>
        <v>7.6999999999999744</v>
      </c>
    </row>
    <row r="443" spans="1:9">
      <c r="A443" s="25">
        <f t="shared" si="56"/>
        <v>7.5999999999999748</v>
      </c>
      <c r="B443" s="51">
        <f>(Calibration!$O$63*Calibration!$B$49*SQRT(I443+Calibration!$F$61-Calibration!$F$63))-((0.32989795*(I443+Calibration!$F$61-Calibration!$F$63))-1.302)</f>
        <v>17.690930961814704</v>
      </c>
      <c r="C443" s="51">
        <f>I443*Calibration!$B$50*Calibration!$O$63*Calibration!$B$71/12500*'Degradation Model'!$B$26/Calibration!$B$61</f>
        <v>9.2247303066835418</v>
      </c>
      <c r="D443" s="51">
        <f t="shared" si="52"/>
        <v>11.646305587142614</v>
      </c>
      <c r="E443" s="51">
        <f>((Calibration!$O$64-1)*F443*Calibration!$B$63/7)</f>
        <v>3.1086588904628174</v>
      </c>
      <c r="F443" s="51">
        <f t="shared" si="53"/>
        <v>29.337236548957318</v>
      </c>
      <c r="G443" s="51">
        <f t="shared" si="54"/>
        <v>32.445895439420134</v>
      </c>
      <c r="H443" s="51">
        <f t="shared" si="55"/>
        <v>67.554104560579873</v>
      </c>
      <c r="I443" s="25">
        <f t="shared" si="57"/>
        <v>7.5999999999999748</v>
      </c>
    </row>
    <row r="444" spans="1:9">
      <c r="A444" s="25">
        <f t="shared" si="56"/>
        <v>7.4999999999999751</v>
      </c>
      <c r="B444" s="51">
        <f>(Calibration!$O$63*Calibration!$B$49*SQRT(I444+Calibration!$F$61-Calibration!$F$63))-((0.32989795*(I444+Calibration!$F$61-Calibration!$F$63))-1.302)</f>
        <v>17.601416159545359</v>
      </c>
      <c r="C444" s="51">
        <f>I444*Calibration!$B$50*Calibration!$O$63*Calibration!$B$71/12500*'Degradation Model'!$B$26/Calibration!$B$61</f>
        <v>9.1033522763324406</v>
      </c>
      <c r="D444" s="51">
        <f t="shared" si="52"/>
        <v>11.467416372857464</v>
      </c>
      <c r="E444" s="51">
        <f>((Calibration!$O$64-1)*F444*Calibration!$B$63/7)</f>
        <v>3.0802180204133953</v>
      </c>
      <c r="F444" s="51">
        <f t="shared" si="53"/>
        <v>29.068832532402823</v>
      </c>
      <c r="G444" s="51">
        <f t="shared" si="54"/>
        <v>32.14905055281622</v>
      </c>
      <c r="H444" s="51">
        <f t="shared" si="55"/>
        <v>67.85094944718378</v>
      </c>
      <c r="I444" s="25">
        <f t="shared" si="57"/>
        <v>7.4999999999999751</v>
      </c>
    </row>
    <row r="445" spans="1:9">
      <c r="A445" s="25">
        <f t="shared" si="56"/>
        <v>7.3999999999999755</v>
      </c>
      <c r="B445" s="51">
        <f>(Calibration!$O$63*Calibration!$B$49*SQRT(I445+Calibration!$F$61-Calibration!$F$63))-((0.32989795*(I445+Calibration!$F$61-Calibration!$F$63))-1.302)</f>
        <v>17.511098959679444</v>
      </c>
      <c r="C445" s="51">
        <f>I445*Calibration!$B$50*Calibration!$O$63*Calibration!$B$71/12500*'Degradation Model'!$B$26/Calibration!$B$61</f>
        <v>8.981974245981343</v>
      </c>
      <c r="D445" s="51">
        <f t="shared" si="52"/>
        <v>11.289306448655507</v>
      </c>
      <c r="E445" s="51">
        <f>((Calibration!$O$64-1)*F445*Calibration!$B$63/7)</f>
        <v>3.0517747018246646</v>
      </c>
      <c r="F445" s="51">
        <f t="shared" si="53"/>
        <v>28.800405408334953</v>
      </c>
      <c r="G445" s="51">
        <f t="shared" si="54"/>
        <v>31.852180110159619</v>
      </c>
      <c r="H445" s="51">
        <f t="shared" si="55"/>
        <v>68.147819889840378</v>
      </c>
      <c r="I445" s="25">
        <f t="shared" si="57"/>
        <v>7.3999999999999755</v>
      </c>
    </row>
    <row r="446" spans="1:9">
      <c r="A446" s="25">
        <f t="shared" si="56"/>
        <v>7.2999999999999758</v>
      </c>
      <c r="B446" s="51">
        <f>(Calibration!$O$63*Calibration!$B$49*SQRT(I446+Calibration!$F$61-Calibration!$F$63))-((0.32989795*(I446+Calibration!$F$61-Calibration!$F$63))-1.302)</f>
        <v>17.419963385613059</v>
      </c>
      <c r="C446" s="51">
        <f>I446*Calibration!$B$50*Calibration!$O$63*Calibration!$B$71/12500*'Degradation Model'!$B$26/Calibration!$B$61</f>
        <v>8.8605962156302454</v>
      </c>
      <c r="D446" s="51">
        <f t="shared" si="52"/>
        <v>11.111969185378097</v>
      </c>
      <c r="E446" s="51">
        <f>((Calibration!$O$64-1)*F446*Calibration!$B$63/7)</f>
        <v>3.0233265393242932</v>
      </c>
      <c r="F446" s="51">
        <f t="shared" si="53"/>
        <v>28.531932570991156</v>
      </c>
      <c r="G446" s="51">
        <f t="shared" si="54"/>
        <v>31.55525911031545</v>
      </c>
      <c r="H446" s="51">
        <f t="shared" si="55"/>
        <v>68.444740889684553</v>
      </c>
      <c r="I446" s="25">
        <f t="shared" si="57"/>
        <v>7.2999999999999758</v>
      </c>
    </row>
    <row r="447" spans="1:9">
      <c r="A447" s="25">
        <f t="shared" si="56"/>
        <v>7.1999999999999762</v>
      </c>
      <c r="B447" s="51">
        <f>(Calibration!$O$63*Calibration!$B$49*SQRT(I447+Calibration!$F$61-Calibration!$F$63))-((0.32989795*(I447+Calibration!$F$61-Calibration!$F$63))-1.302)</f>
        <v>17.327992923411973</v>
      </c>
      <c r="C447" s="51">
        <f>I447*Calibration!$B$50*Calibration!$O$63*Calibration!$B$71/12500*'Degradation Model'!$B$26/Calibration!$B$61</f>
        <v>8.7392181852791442</v>
      </c>
      <c r="D447" s="51">
        <f t="shared" si="52"/>
        <v>10.935398103383211</v>
      </c>
      <c r="E447" s="51">
        <f>((Calibration!$O$64-1)*F447*Calibration!$B$63/7)</f>
        <v>2.9948710964460821</v>
      </c>
      <c r="F447" s="51">
        <f t="shared" si="53"/>
        <v>28.263391026795183</v>
      </c>
      <c r="G447" s="51">
        <f t="shared" si="54"/>
        <v>31.258262123241266</v>
      </c>
      <c r="H447" s="51">
        <f t="shared" si="55"/>
        <v>68.741737876758734</v>
      </c>
      <c r="I447" s="25">
        <f t="shared" si="57"/>
        <v>7.1999999999999762</v>
      </c>
    </row>
    <row r="448" spans="1:9">
      <c r="A448" s="25">
        <f t="shared" ref="A448:A479" si="58">A447-0.1</f>
        <v>7.0999999999999766</v>
      </c>
      <c r="B448" s="51">
        <f>(Calibration!$O$63*Calibration!$B$49*SQRT(I448+Calibration!$F$61-Calibration!$F$63))-((0.32989795*(I448+Calibration!$F$61-Calibration!$F$63))-1.302)</f>
        <v>17.235170496165722</v>
      </c>
      <c r="C448" s="51">
        <f>I448*Calibration!$B$50*Calibration!$O$63*Calibration!$B$71/12500*'Degradation Model'!$B$26/Calibration!$B$61</f>
        <v>8.6178401549280448</v>
      </c>
      <c r="D448" s="51">
        <f t="shared" si="52"/>
        <v>10.759586870053484</v>
      </c>
      <c r="E448" s="51">
        <f>((Calibration!$O$64-1)*F448*Calibration!$B$63/7)</f>
        <v>2.9664058926483925</v>
      </c>
      <c r="F448" s="51">
        <f t="shared" si="53"/>
        <v>27.994757366219204</v>
      </c>
      <c r="G448" s="51">
        <f t="shared" si="54"/>
        <v>30.961163258867597</v>
      </c>
      <c r="H448" s="51">
        <f t="shared" si="55"/>
        <v>69.0388367411324</v>
      </c>
      <c r="I448" s="25">
        <f t="shared" ref="I448:I479" si="59">I447-0.1</f>
        <v>7.0999999999999766</v>
      </c>
    </row>
    <row r="449" spans="1:9">
      <c r="A449" s="25">
        <f t="shared" si="58"/>
        <v>6.9999999999999769</v>
      </c>
      <c r="B449" s="51">
        <f>(Calibration!$O$63*Calibration!$B$49*SQRT(I449+Calibration!$F$61-Calibration!$F$63))-((0.32989795*(I449+Calibration!$F$61-Calibration!$F$63))-1.302)</f>
        <v>17.141478436746091</v>
      </c>
      <c r="C449" s="51">
        <f>I449*Calibration!$B$50*Calibration!$O$63*Calibration!$B$71/12500*'Degradation Model'!$B$26/Calibration!$B$61</f>
        <v>8.4964621245769472</v>
      </c>
      <c r="D449" s="51">
        <f t="shared" si="52"/>
        <v>10.584529297436887</v>
      </c>
      <c r="E449" s="51">
        <f>((Calibration!$O$64-1)*F449*Calibration!$B$63/7)</f>
        <v>2.9379284001775581</v>
      </c>
      <c r="F449" s="51">
        <f t="shared" si="53"/>
        <v>27.726007734182978</v>
      </c>
      <c r="G449" s="51">
        <f t="shared" si="54"/>
        <v>30.663936134360537</v>
      </c>
      <c r="H449" s="51">
        <f t="shared" si="55"/>
        <v>69.33606386563946</v>
      </c>
      <c r="I449" s="25">
        <f t="shared" si="59"/>
        <v>6.9999999999999769</v>
      </c>
    </row>
    <row r="450" spans="1:9">
      <c r="A450" s="25">
        <f t="shared" si="58"/>
        <v>6.8999999999999773</v>
      </c>
      <c r="B450" s="51">
        <f>(Calibration!$O$63*Calibration!$B$49*SQRT(I450+Calibration!$F$61-Calibration!$F$63))-((0.32989795*(I450+Calibration!$F$61-Calibration!$F$63))-1.302)</f>
        <v>17.046898458847028</v>
      </c>
      <c r="C450" s="51">
        <f>I450*Calibration!$B$50*Calibration!$O$63*Calibration!$B$71/12500*'Degradation Model'!$B$26/Calibration!$B$61</f>
        <v>8.3750840942258478</v>
      </c>
      <c r="D450" s="51">
        <f t="shared" si="52"/>
        <v>10.410219340018525</v>
      </c>
      <c r="E450" s="51">
        <f>((Calibration!$O$64-1)*F450*Calibration!$B$63/7)</f>
        <v>2.909436040763079</v>
      </c>
      <c r="F450" s="51">
        <f t="shared" si="53"/>
        <v>27.457117798865553</v>
      </c>
      <c r="G450" s="51">
        <f t="shared" si="54"/>
        <v>30.366553839628633</v>
      </c>
      <c r="H450" s="51">
        <f t="shared" si="55"/>
        <v>69.633446160371363</v>
      </c>
      <c r="I450" s="25">
        <f t="shared" si="59"/>
        <v>6.8999999999999773</v>
      </c>
    </row>
    <row r="451" spans="1:9">
      <c r="A451" s="25">
        <f t="shared" si="58"/>
        <v>6.7999999999999776</v>
      </c>
      <c r="B451" s="51">
        <f>(Calibration!$O$63*Calibration!$B$49*SQRT(I451+Calibration!$F$61-Calibration!$F$63))-((0.32989795*(I451+Calibration!$F$61-Calibration!$F$63))-1.302)</f>
        <v>16.951411626171556</v>
      </c>
      <c r="C451" s="51">
        <f>I451*Calibration!$B$50*Calibration!$O$63*Calibration!$B$71/12500*'Degradation Model'!$B$26/Calibration!$B$61</f>
        <v>8.2537060638747484</v>
      </c>
      <c r="D451" s="51">
        <f t="shared" si="52"/>
        <v>10.236651092622363</v>
      </c>
      <c r="E451" s="51">
        <f>((Calibration!$O$64-1)*F451*Calibration!$B$63/7)</f>
        <v>2.8809261821302421</v>
      </c>
      <c r="F451" s="51">
        <f t="shared" si="53"/>
        <v>27.188062718793919</v>
      </c>
      <c r="G451" s="51">
        <f t="shared" si="54"/>
        <v>30.068988900924161</v>
      </c>
      <c r="H451" s="51">
        <f t="shared" si="55"/>
        <v>69.931011099075846</v>
      </c>
      <c r="I451" s="25">
        <f t="shared" si="59"/>
        <v>6.7999999999999776</v>
      </c>
    </row>
    <row r="452" spans="1:9">
      <c r="A452" s="25">
        <f t="shared" si="58"/>
        <v>6.699999999999978</v>
      </c>
      <c r="B452" s="51">
        <f>(Calibration!$O$63*Calibration!$B$49*SQRT(I452+Calibration!$F$61-Calibration!$F$63))-((0.32989795*(I452+Calibration!$F$61-Calibration!$F$63))-1.302)</f>
        <v>16.85499831961868</v>
      </c>
      <c r="C452" s="51">
        <f>I452*Calibration!$B$50*Calibration!$O$63*Calibration!$B$71/12500*'Degradation Model'!$B$26/Calibration!$B$61</f>
        <v>8.132328033523649</v>
      </c>
      <c r="D452" s="51">
        <f t="shared" si="52"/>
        <v>10.063818788442051</v>
      </c>
      <c r="E452" s="51">
        <f>((Calibration!$O$64-1)*F452*Calibration!$B$63/7)</f>
        <v>2.8523961343144886</v>
      </c>
      <c r="F452" s="51">
        <f t="shared" si="53"/>
        <v>26.918817108060729</v>
      </c>
      <c r="G452" s="51">
        <f t="shared" si="54"/>
        <v>29.771213242375218</v>
      </c>
      <c r="H452" s="51">
        <f t="shared" si="55"/>
        <v>70.228786757624789</v>
      </c>
      <c r="I452" s="25">
        <f t="shared" si="59"/>
        <v>6.699999999999978</v>
      </c>
    </row>
    <row r="453" spans="1:9">
      <c r="A453" s="25">
        <f t="shared" si="58"/>
        <v>6.5999999999999783</v>
      </c>
      <c r="B453" s="51">
        <f>(Calibration!$O$63*Calibration!$B$49*SQRT(I453+Calibration!$F$61-Calibration!$F$63))-((0.32989795*(I453+Calibration!$F$61-Calibration!$F$63))-1.302)</f>
        <v>16.757638202309341</v>
      </c>
      <c r="C453" s="51">
        <f>I453*Calibration!$B$50*Calibration!$O$63*Calibration!$B$71/12500*'Degradation Model'!$B$26/Calibration!$B$61</f>
        <v>8.0109500031725496</v>
      </c>
      <c r="D453" s="51">
        <f t="shared" si="52"/>
        <v>9.8917167972003472</v>
      </c>
      <c r="E453" s="51">
        <f>((Calibration!$O$64-1)*F453*Calibration!$B$63/7)</f>
        <v>2.8238431457604314</v>
      </c>
      <c r="F453" s="51">
        <f t="shared" si="53"/>
        <v>26.64935499950969</v>
      </c>
      <c r="G453" s="51">
        <f t="shared" si="54"/>
        <v>29.473198145270121</v>
      </c>
      <c r="H453" s="51">
        <f t="shared" si="55"/>
        <v>70.526801854729882</v>
      </c>
      <c r="I453" s="25">
        <f t="shared" si="59"/>
        <v>6.5999999999999783</v>
      </c>
    </row>
    <row r="454" spans="1:9">
      <c r="A454" s="25">
        <f t="shared" si="58"/>
        <v>6.4999999999999787</v>
      </c>
      <c r="B454" s="51">
        <f>(Calibration!$O$63*Calibration!$B$49*SQRT(I454+Calibration!$F$61-Calibration!$F$63))-((0.32989795*(I454+Calibration!$F$61-Calibration!$F$63))-1.302)</f>
        <v>16.659310182274776</v>
      </c>
      <c r="C454" s="51">
        <f>I454*Calibration!$B$50*Calibration!$O$63*Calibration!$B$71/12500*'Degradation Model'!$B$26/Calibration!$B$61</f>
        <v>7.8895719728214511</v>
      </c>
      <c r="D454" s="51">
        <f t="shared" si="52"/>
        <v>9.7203396234370416</v>
      </c>
      <c r="E454" s="51">
        <f>((Calibration!$O$64-1)*F454*Calibration!$B$63/7)</f>
        <v>2.7952643991867854</v>
      </c>
      <c r="F454" s="51">
        <f t="shared" si="53"/>
        <v>26.379649805711818</v>
      </c>
      <c r="G454" s="51">
        <f t="shared" si="54"/>
        <v>29.174914204898602</v>
      </c>
      <c r="H454" s="51">
        <f t="shared" si="55"/>
        <v>70.825085795101401</v>
      </c>
      <c r="I454" s="25">
        <f t="shared" si="59"/>
        <v>6.4999999999999787</v>
      </c>
    </row>
    <row r="455" spans="1:9">
      <c r="A455" s="25">
        <f t="shared" si="58"/>
        <v>6.399999999999979</v>
      </c>
      <c r="B455" s="51">
        <f>(Calibration!$O$63*Calibration!$B$49*SQRT(I455+Calibration!$F$61-Calibration!$F$63))-((0.32989795*(I455+Calibration!$F$61-Calibration!$F$63))-1.302)</f>
        <v>16.559992372613603</v>
      </c>
      <c r="C455" s="51">
        <f>I455*Calibration!$B$50*Calibration!$O$63*Calibration!$B$71/12500*'Degradation Model'!$B$26/Calibration!$B$61</f>
        <v>7.7681939424703517</v>
      </c>
      <c r="D455" s="51">
        <f t="shared" si="52"/>
        <v>9.5496819049256345</v>
      </c>
      <c r="E455" s="51">
        <f>((Calibration!$O$64-1)*F455*Calibration!$B$63/7)</f>
        <v>2.7666570071967271</v>
      </c>
      <c r="F455" s="51">
        <f t="shared" si="53"/>
        <v>26.109674277539238</v>
      </c>
      <c r="G455" s="51">
        <f t="shared" si="54"/>
        <v>28.876331284735965</v>
      </c>
      <c r="H455" s="51">
        <f t="shared" si="55"/>
        <v>71.123668715264031</v>
      </c>
      <c r="I455" s="25">
        <f t="shared" si="59"/>
        <v>6.399999999999979</v>
      </c>
    </row>
    <row r="456" spans="1:9">
      <c r="A456" s="25">
        <f t="shared" si="58"/>
        <v>6.2999999999999794</v>
      </c>
      <c r="B456" s="51">
        <f>(Calibration!$O$63*Calibration!$B$49*SQRT(I456+Calibration!$F$61-Calibration!$F$63))-((0.32989795*(I456+Calibration!$F$61-Calibration!$F$63))-1.302)</f>
        <v>16.45966204890437</v>
      </c>
      <c r="C456" s="51">
        <f>I456*Calibration!$B$50*Calibration!$O$63*Calibration!$B$71/12500*'Degradation Model'!$B$26/Calibration!$B$61</f>
        <v>7.6468159121192532</v>
      </c>
      <c r="D456" s="51">
        <f t="shared" si="52"/>
        <v>9.3797384112194475</v>
      </c>
      <c r="E456" s="51">
        <f>((Calibration!$O$64-1)*F456*Calibration!$B$63/7)</f>
        <v>2.7380180076111431</v>
      </c>
      <c r="F456" s="51">
        <f t="shared" si="53"/>
        <v>25.839400460123819</v>
      </c>
      <c r="G456" s="51">
        <f t="shared" si="54"/>
        <v>28.577418467734962</v>
      </c>
      <c r="H456" s="51">
        <f t="shared" si="55"/>
        <v>71.422581532265042</v>
      </c>
      <c r="I456" s="25">
        <f t="shared" si="59"/>
        <v>6.2999999999999794</v>
      </c>
    </row>
    <row r="457" spans="1:9">
      <c r="A457" s="25">
        <f t="shared" si="58"/>
        <v>6.1999999999999797</v>
      </c>
      <c r="B457" s="51">
        <f>(Calibration!$O$63*Calibration!$B$49*SQRT(I457+Calibration!$F$61-Calibration!$F$63))-((0.32989795*(I457+Calibration!$F$61-Calibration!$F$63))-1.302)</f>
        <v>16.358295603639032</v>
      </c>
      <c r="C457" s="51">
        <f>I457*Calibration!$B$50*Calibration!$O$63*Calibration!$B$71/12500*'Degradation Model'!$B$26/Calibration!$B$61</f>
        <v>7.525437881768152</v>
      </c>
      <c r="D457" s="51">
        <f t="shared" si="52"/>
        <v>9.2105040423282674</v>
      </c>
      <c r="E457" s="51">
        <f>((Calibration!$O$64-1)*F457*Calibration!$B$63/7)</f>
        <v>2.7093443585000436</v>
      </c>
      <c r="F457" s="51">
        <f t="shared" si="53"/>
        <v>25.568799645967299</v>
      </c>
      <c r="G457" s="51">
        <f t="shared" si="54"/>
        <v>28.278144004467343</v>
      </c>
      <c r="H457" s="51">
        <f t="shared" si="55"/>
        <v>71.72185599553265</v>
      </c>
      <c r="I457" s="25">
        <f t="shared" si="59"/>
        <v>6.1999999999999797</v>
      </c>
    </row>
    <row r="458" spans="1:9">
      <c r="A458" s="25">
        <f t="shared" si="58"/>
        <v>6.0999999999999801</v>
      </c>
      <c r="B458" s="51">
        <f>(Calibration!$O$63*Calibration!$B$49*SQRT(I458+Calibration!$F$61-Calibration!$F$63))-((0.32989795*(I458+Calibration!$F$61-Calibration!$F$63))-1.302)</f>
        <v>16.255868497418497</v>
      </c>
      <c r="C458" s="51">
        <f>I458*Calibration!$B$50*Calibration!$O$63*Calibration!$B$71/12500*'Degradation Model'!$B$26/Calibration!$B$61</f>
        <v>7.4040598514170535</v>
      </c>
      <c r="D458" s="51">
        <f t="shared" si="52"/>
        <v>9.0419738275270625</v>
      </c>
      <c r="E458" s="51">
        <f>((Calibration!$O$64-1)*F458*Calibration!$B$63/7)</f>
        <v>2.6806329328848668</v>
      </c>
      <c r="F458" s="51">
        <f t="shared" si="53"/>
        <v>25.29784232494556</v>
      </c>
      <c r="G458" s="51">
        <f t="shared" si="54"/>
        <v>27.978475257830425</v>
      </c>
      <c r="H458" s="51">
        <f t="shared" si="55"/>
        <v>72.021524742169575</v>
      </c>
      <c r="I458" s="25">
        <f t="shared" si="59"/>
        <v>6.0999999999999801</v>
      </c>
    </row>
    <row r="459" spans="1:9">
      <c r="A459" s="25">
        <f t="shared" si="58"/>
        <v>5.9999999999999805</v>
      </c>
      <c r="B459" s="51">
        <f>(Calibration!$O$63*Calibration!$B$49*SQRT(I459+Calibration!$F$61-Calibration!$F$63))-((0.32989795*(I459+Calibration!$F$61-Calibration!$F$63))-1.302)</f>
        <v>16.152355206624655</v>
      </c>
      <c r="C459" s="51">
        <f>I459*Calibration!$B$50*Calibration!$O$63*Calibration!$B$71/12500*'Degradation Model'!$B$26/Calibration!$B$61</f>
        <v>7.2826818210659541</v>
      </c>
      <c r="D459" s="51">
        <f t="shared" si="52"/>
        <v>8.8741429242988126</v>
      </c>
      <c r="E459" s="51">
        <f>((Calibration!$O$64-1)*F459*Calibration!$B$63/7)</f>
        <v>2.6518805130816387</v>
      </c>
      <c r="F459" s="51">
        <f t="shared" si="53"/>
        <v>25.026498130923468</v>
      </c>
      <c r="G459" s="51">
        <f t="shared" si="54"/>
        <v>27.678378644005107</v>
      </c>
      <c r="H459" s="51">
        <f t="shared" si="55"/>
        <v>72.321621355994893</v>
      </c>
      <c r="I459" s="25">
        <f t="shared" si="59"/>
        <v>5.9999999999999805</v>
      </c>
    </row>
    <row r="460" spans="1:9">
      <c r="A460" s="25">
        <f t="shared" si="58"/>
        <v>5.8999999999999808</v>
      </c>
      <c r="B460" s="51">
        <f>(Calibration!$O$63*Calibration!$B$49*SQRT(I460+Calibration!$F$61-Calibration!$F$63))-((0.32989795*(I460+Calibration!$F$61-Calibration!$F$63))-1.302)</f>
        <v>16.047729167252733</v>
      </c>
      <c r="C460" s="51">
        <f>I460*Calibration!$B$50*Calibration!$O$63*Calibration!$B$71/12500*'Degradation Model'!$B$26/Calibration!$B$61</f>
        <v>7.1613037907148556</v>
      </c>
      <c r="D460" s="51">
        <f t="shared" si="52"/>
        <v>8.7070066174139793</v>
      </c>
      <c r="E460" s="51">
        <f>((Calibration!$O$64-1)*F460*Calibration!$B$63/7)</f>
        <v>2.6230837846517372</v>
      </c>
      <c r="F460" s="51">
        <f t="shared" si="53"/>
        <v>24.754735784666714</v>
      </c>
      <c r="G460" s="51">
        <f t="shared" si="54"/>
        <v>27.377819569318451</v>
      </c>
      <c r="H460" s="51">
        <f t="shared" si="55"/>
        <v>72.622180430681553</v>
      </c>
      <c r="I460" s="25">
        <f t="shared" si="59"/>
        <v>5.8999999999999808</v>
      </c>
    </row>
    <row r="461" spans="1:9">
      <c r="A461" s="25">
        <f t="shared" si="58"/>
        <v>5.7999999999999812</v>
      </c>
      <c r="B461" s="51">
        <f>(Calibration!$O$63*Calibration!$B$49*SQRT(I461+Calibration!$F$61-Calibration!$F$63))-((0.32989795*(I461+Calibration!$F$61-Calibration!$F$63))-1.302)</f>
        <v>15.941962714554027</v>
      </c>
      <c r="C461" s="51">
        <f>I461*Calibration!$B$50*Calibration!$O$63*Calibration!$B$71/12500*'Degradation Model'!$B$26/Calibration!$B$61</f>
        <v>7.0399257603637562</v>
      </c>
      <c r="D461" s="51">
        <f t="shared" ref="D461:D517" si="60">D462+($C$518*100/H462)</f>
        <v>8.5405603181497298</v>
      </c>
      <c r="E461" s="51">
        <f>((Calibration!$O$64-1)*F461*Calibration!$B$63/7)</f>
        <v>2.5942393299235342</v>
      </c>
      <c r="F461" s="51">
        <f t="shared" ref="F461:F518" si="61">B461+D461</f>
        <v>24.482523032703757</v>
      </c>
      <c r="G461" s="51">
        <f t="shared" ref="G461:G518" si="62">F461+E461</f>
        <v>27.076762362627292</v>
      </c>
      <c r="H461" s="51">
        <f t="shared" ref="H461:H518" si="63">IF(100-G461&lt;10,10,100-G461)</f>
        <v>72.923237637372708</v>
      </c>
      <c r="I461" s="25">
        <f t="shared" si="59"/>
        <v>5.7999999999999812</v>
      </c>
    </row>
    <row r="462" spans="1:9">
      <c r="A462" s="25">
        <f t="shared" si="58"/>
        <v>5.6999999999999815</v>
      </c>
      <c r="B462" s="51">
        <f>(Calibration!$O$63*Calibration!$B$49*SQRT(I462+Calibration!$F$61-Calibration!$F$63))-((0.32989795*(I462+Calibration!$F$61-Calibration!$F$63))-1.302)</f>
        <v>15.835027018100536</v>
      </c>
      <c r="C462" s="51">
        <f>I462*Calibration!$B$50*Calibration!$O$63*Calibration!$B$71/12500*'Degradation Model'!$B$26/Calibration!$B$61</f>
        <v>6.9185477300126568</v>
      </c>
      <c r="D462" s="51">
        <f t="shared" si="60"/>
        <v>8.3747995636526014</v>
      </c>
      <c r="E462" s="51">
        <f>((Calibration!$O$64-1)*F462*Calibration!$B$63/7)</f>
        <v>2.5653436210441156</v>
      </c>
      <c r="F462" s="51">
        <f t="shared" si="61"/>
        <v>24.209826581753138</v>
      </c>
      <c r="G462" s="51">
        <f t="shared" si="62"/>
        <v>26.775170202797252</v>
      </c>
      <c r="H462" s="51">
        <f t="shared" si="63"/>
        <v>73.224829797202744</v>
      </c>
      <c r="I462" s="25">
        <f t="shared" si="59"/>
        <v>5.6999999999999815</v>
      </c>
    </row>
    <row r="463" spans="1:9">
      <c r="A463" s="25">
        <f t="shared" si="58"/>
        <v>5.5999999999999819</v>
      </c>
      <c r="B463" s="51">
        <f>(Calibration!$O$63*Calibration!$B$49*SQRT(I463+Calibration!$F$61-Calibration!$F$63))-((0.32989795*(I463+Calibration!$F$61-Calibration!$F$63))-1.302)</f>
        <v>15.726892011839842</v>
      </c>
      <c r="C463" s="51">
        <f>I463*Calibration!$B$50*Calibration!$O$63*Calibration!$B$71/12500*'Degradation Model'!$B$26/Calibration!$B$61</f>
        <v>6.7971696996615583</v>
      </c>
      <c r="D463" s="51">
        <f t="shared" si="60"/>
        <v>8.2097200164489639</v>
      </c>
      <c r="E463" s="51">
        <f>((Calibration!$O$64-1)*F463*Calibration!$B$63/7)</f>
        <v>2.5363930125158247</v>
      </c>
      <c r="F463" s="51">
        <f t="shared" si="61"/>
        <v>23.936612028288806</v>
      </c>
      <c r="G463" s="51">
        <f t="shared" si="62"/>
        <v>26.47300504080463</v>
      </c>
      <c r="H463" s="51">
        <f t="shared" si="63"/>
        <v>73.526994959195378</v>
      </c>
      <c r="I463" s="25">
        <f t="shared" si="59"/>
        <v>5.5999999999999819</v>
      </c>
    </row>
    <row r="464" spans="1:9">
      <c r="A464" s="25">
        <f t="shared" si="58"/>
        <v>5.4999999999999822</v>
      </c>
      <c r="B464" s="51">
        <f>(Calibration!$O$63*Calibration!$B$49*SQRT(I464+Calibration!$F$61-Calibration!$F$63))-((0.32989795*(I464+Calibration!$F$61-Calibration!$F$63))-1.302)</f>
        <v>15.617526318659495</v>
      </c>
      <c r="C464" s="51">
        <f>I464*Calibration!$B$50*Calibration!$O$63*Calibration!$B$71/12500*'Degradation Model'!$B$26/Calibration!$B$61</f>
        <v>6.675791669310458</v>
      </c>
      <c r="D464" s="51">
        <f t="shared" si="60"/>
        <v>8.0453174641083365</v>
      </c>
      <c r="E464" s="51">
        <f>((Calibration!$O$64-1)*F464*Calibration!$B$63/7)</f>
        <v>2.5073837331672069</v>
      </c>
      <c r="F464" s="51">
        <f t="shared" si="61"/>
        <v>23.66284378276783</v>
      </c>
      <c r="G464" s="51">
        <f t="shared" si="62"/>
        <v>26.170227515935036</v>
      </c>
      <c r="H464" s="51">
        <f t="shared" si="63"/>
        <v>73.829772484064961</v>
      </c>
      <c r="I464" s="25">
        <f t="shared" si="59"/>
        <v>5.4999999999999822</v>
      </c>
    </row>
    <row r="465" spans="1:9">
      <c r="A465" s="25">
        <f t="shared" si="58"/>
        <v>5.3999999999999826</v>
      </c>
      <c r="B465" s="51">
        <f>(Calibration!$O$63*Calibration!$B$49*SQRT(I465+Calibration!$F$61-Calibration!$F$63))-((0.32989795*(I465+Calibration!$F$61-Calibration!$F$63))-1.302)</f>
        <v>15.50689716892488</v>
      </c>
      <c r="C465" s="51">
        <f>I465*Calibration!$B$50*Calibration!$O$63*Calibration!$B$71/12500*'Degradation Model'!$B$26/Calibration!$B$61</f>
        <v>6.5544136389593586</v>
      </c>
      <c r="D465" s="51">
        <f t="shared" si="60"/>
        <v>7.8815878190654098</v>
      </c>
      <c r="E465" s="51">
        <f>((Calibration!$O$64-1)*F465*Calibration!$B$63/7)</f>
        <v>2.4783118775021857</v>
      </c>
      <c r="F465" s="51">
        <f t="shared" si="61"/>
        <v>23.388484987990289</v>
      </c>
      <c r="G465" s="51">
        <f t="shared" si="62"/>
        <v>25.866796865492475</v>
      </c>
      <c r="H465" s="51">
        <f t="shared" si="63"/>
        <v>74.133203134507525</v>
      </c>
      <c r="I465" s="25">
        <f t="shared" si="59"/>
        <v>5.3999999999999826</v>
      </c>
    </row>
    <row r="466" spans="1:9">
      <c r="A466" s="25">
        <f t="shared" si="58"/>
        <v>5.2999999999999829</v>
      </c>
      <c r="B466" s="51">
        <f>(Calibration!$O$63*Calibration!$B$49*SQRT(I466+Calibration!$F$61-Calibration!$F$63))-((0.32989795*(I466+Calibration!$F$61-Calibration!$F$63))-1.302)</f>
        <v>15.394970312391386</v>
      </c>
      <c r="C466" s="51">
        <f>I466*Calibration!$B$50*Calibration!$O$63*Calibration!$B$71/12500*'Degradation Model'!$B$26/Calibration!$B$61</f>
        <v>6.4330356086082618</v>
      </c>
      <c r="D466" s="51">
        <f t="shared" si="60"/>
        <v>7.7185271186074731</v>
      </c>
      <c r="E466" s="51">
        <f>((Calibration!$O$64-1)*F466*Calibration!$B$63/7)</f>
        <v>2.4491733963646896</v>
      </c>
      <c r="F466" s="51">
        <f t="shared" si="61"/>
        <v>23.113497430998859</v>
      </c>
      <c r="G466" s="51">
        <f t="shared" si="62"/>
        <v>25.562670827363547</v>
      </c>
      <c r="H466" s="51">
        <f t="shared" si="63"/>
        <v>74.437329172636453</v>
      </c>
      <c r="I466" s="25">
        <f t="shared" si="59"/>
        <v>5.2999999999999829</v>
      </c>
    </row>
    <row r="467" spans="1:9">
      <c r="A467" s="25">
        <f t="shared" si="58"/>
        <v>5.1999999999999833</v>
      </c>
      <c r="B467" s="51">
        <f>(Calibration!$O$63*Calibration!$B$49*SQRT(I467+Calibration!$F$61-Calibration!$F$63))-((0.32989795*(I467+Calibration!$F$61-Calibration!$F$63))-1.302)</f>
        <v>15.281709922820118</v>
      </c>
      <c r="C467" s="51">
        <f>I467*Calibration!$B$50*Calibration!$O$63*Calibration!$B$71/12500*'Degradation Model'!$B$26/Calibration!$B$61</f>
        <v>6.3116575782571607</v>
      </c>
      <c r="D467" s="51">
        <f t="shared" si="60"/>
        <v>7.556131525034905</v>
      </c>
      <c r="E467" s="51">
        <f>((Calibration!$O$64-1)*F467*Calibration!$B$63/7)</f>
        <v>2.4199640868484593</v>
      </c>
      <c r="F467" s="51">
        <f t="shared" si="61"/>
        <v>22.837841447855023</v>
      </c>
      <c r="G467" s="51">
        <f t="shared" si="62"/>
        <v>25.257805534703483</v>
      </c>
      <c r="H467" s="51">
        <f t="shared" si="63"/>
        <v>74.742194465296521</v>
      </c>
      <c r="I467" s="25">
        <f t="shared" si="59"/>
        <v>5.1999999999999833</v>
      </c>
    </row>
    <row r="468" spans="1:9">
      <c r="A468" s="25">
        <f t="shared" si="58"/>
        <v>5.0999999999999837</v>
      </c>
      <c r="B468" s="51">
        <f>(Calibration!$O$63*Calibration!$B$49*SQRT(I468+Calibration!$F$61-Calibration!$F$63))-((0.32989795*(I468+Calibration!$F$61-Calibration!$F$63))-1.302)</f>
        <v>15.167078494544477</v>
      </c>
      <c r="C468" s="51">
        <f>I468*Calibration!$B$50*Calibration!$O$63*Calibration!$B$71/12500*'Degradation Model'!$B$26/Calibration!$B$61</f>
        <v>6.1902795479060622</v>
      </c>
      <c r="D468" s="51">
        <f t="shared" si="60"/>
        <v>7.3943973260034408</v>
      </c>
      <c r="E468" s="51">
        <f>((Calibration!$O$64-1)*F468*Calibration!$B$63/7)</f>
        <v>2.3906795813732122</v>
      </c>
      <c r="F468" s="51">
        <f t="shared" si="61"/>
        <v>22.561475820547919</v>
      </c>
      <c r="G468" s="51">
        <f t="shared" si="62"/>
        <v>24.952155401921132</v>
      </c>
      <c r="H468" s="51">
        <f t="shared" si="63"/>
        <v>75.047844598078868</v>
      </c>
      <c r="I468" s="25">
        <f t="shared" si="59"/>
        <v>5.0999999999999837</v>
      </c>
    </row>
    <row r="469" spans="1:9">
      <c r="A469" s="25">
        <f t="shared" si="58"/>
        <v>4.999999999999984</v>
      </c>
      <c r="B469" s="51">
        <f>(Calibration!$O$63*Calibration!$B$49*SQRT(I469+Calibration!$F$61-Calibration!$F$63))-((0.32989795*(I469+Calibration!$F$61-Calibration!$F$63))-1.302)</f>
        <v>15.051036730141703</v>
      </c>
      <c r="C469" s="51">
        <f>I469*Calibration!$B$50*Calibration!$O$63*Calibration!$B$71/12500*'Degradation Model'!$B$26/Calibration!$B$61</f>
        <v>6.068901517554961</v>
      </c>
      <c r="D469" s="51">
        <f t="shared" si="60"/>
        <v>7.2333209350580958</v>
      </c>
      <c r="E469" s="51">
        <f>((Calibration!$O$64-1)*F469*Calibration!$B$63/7)</f>
        <v>2.3613153358385657</v>
      </c>
      <c r="F469" s="51">
        <f t="shared" si="61"/>
        <v>22.284357665199799</v>
      </c>
      <c r="G469" s="51">
        <f t="shared" si="62"/>
        <v>24.645673001038364</v>
      </c>
      <c r="H469" s="51">
        <f t="shared" si="63"/>
        <v>75.354326998961639</v>
      </c>
      <c r="I469" s="25">
        <f t="shared" si="59"/>
        <v>4.999999999999984</v>
      </c>
    </row>
    <row r="470" spans="1:9">
      <c r="A470" s="25">
        <f t="shared" si="58"/>
        <v>4.8999999999999844</v>
      </c>
      <c r="B470" s="51">
        <f>(Calibration!$O$63*Calibration!$B$49*SQRT(I470+Calibration!$F$61-Calibration!$F$63))-((0.32989795*(I470+Calibration!$F$61-Calibration!$F$63))-1.302)</f>
        <v>14.933543418256033</v>
      </c>
      <c r="C470" s="51">
        <f>I470*Calibration!$B$50*Calibration!$O$63*Calibration!$B$71/12500*'Degradation Model'!$B$26/Calibration!$B$61</f>
        <v>5.9475234872038634</v>
      </c>
      <c r="D470" s="51">
        <f t="shared" si="60"/>
        <v>7.0728988923699596</v>
      </c>
      <c r="E470" s="51">
        <f>((Calibration!$O$64-1)*F470*Calibration!$B$63/7)</f>
        <v>2.331866616755899</v>
      </c>
      <c r="F470" s="51">
        <f t="shared" si="61"/>
        <v>22.006442310625992</v>
      </c>
      <c r="G470" s="51">
        <f t="shared" si="62"/>
        <v>24.338308927381892</v>
      </c>
      <c r="H470" s="51">
        <f t="shared" si="63"/>
        <v>75.661691072618112</v>
      </c>
      <c r="I470" s="25">
        <f t="shared" si="59"/>
        <v>4.8999999999999844</v>
      </c>
    </row>
    <row r="471" spans="1:9">
      <c r="A471" s="25">
        <f t="shared" si="58"/>
        <v>4.7999999999999847</v>
      </c>
      <c r="B471" s="51">
        <f>(Calibration!$O$63*Calibration!$B$49*SQRT(I471+Calibration!$F$61-Calibration!$F$63))-((0.32989795*(I471+Calibration!$F$61-Calibration!$F$63))-1.302)</f>
        <v>14.814555300497139</v>
      </c>
      <c r="C471" s="51">
        <f>I471*Calibration!$B$50*Calibration!$O$63*Calibration!$B$71/12500*'Degradation Model'!$B$26/Calibration!$B$61</f>
        <v>5.8261454568527631</v>
      </c>
      <c r="D471" s="51">
        <f t="shared" si="60"/>
        <v>6.9131278656885229</v>
      </c>
      <c r="E471" s="51">
        <f>((Calibration!$O$64-1)*F471*Calibration!$B$63/7)</f>
        <v>2.3023284872454339</v>
      </c>
      <c r="F471" s="51">
        <f t="shared" si="61"/>
        <v>21.727683166185663</v>
      </c>
      <c r="G471" s="51">
        <f t="shared" si="62"/>
        <v>24.030011653431096</v>
      </c>
      <c r="H471" s="51">
        <f t="shared" si="63"/>
        <v>75.969988346568897</v>
      </c>
      <c r="I471" s="25">
        <f t="shared" si="59"/>
        <v>4.7999999999999847</v>
      </c>
    </row>
    <row r="472" spans="1:9">
      <c r="A472" s="25">
        <f t="shared" si="58"/>
        <v>4.6999999999999851</v>
      </c>
      <c r="B472" s="51">
        <f>(Calibration!$O$63*Calibration!$B$49*SQRT(I472+Calibration!$F$61-Calibration!$F$63))-((0.32989795*(I472+Calibration!$F$61-Calibration!$F$63))-1.302)</f>
        <v>14.694026926195715</v>
      </c>
      <c r="C472" s="51">
        <f>I472*Calibration!$B$50*Calibration!$O$63*Calibration!$B$71/12500*'Degradation Model'!$B$26/Calibration!$B$61</f>
        <v>5.7047674265016655</v>
      </c>
      <c r="D472" s="51">
        <f t="shared" si="60"/>
        <v>6.754004651523875</v>
      </c>
      <c r="E472" s="51">
        <f>((Calibration!$O$64-1)*F472*Calibration!$B$63/7)</f>
        <v>2.2726957917709858</v>
      </c>
      <c r="F472" s="51">
        <f t="shared" si="61"/>
        <v>21.44803157771959</v>
      </c>
      <c r="G472" s="51">
        <f t="shared" si="62"/>
        <v>23.720727369490575</v>
      </c>
      <c r="H472" s="51">
        <f t="shared" si="63"/>
        <v>76.279272630509425</v>
      </c>
      <c r="I472" s="25">
        <f t="shared" si="59"/>
        <v>4.6999999999999851</v>
      </c>
    </row>
    <row r="473" spans="1:9">
      <c r="A473" s="25">
        <f t="shared" si="58"/>
        <v>4.5999999999999854</v>
      </c>
      <c r="B473" s="51">
        <f>(Calibration!$O$63*Calibration!$B$49*SQRT(I473+Calibration!$F$61-Calibration!$F$63))-((0.32989795*(I473+Calibration!$F$61-Calibration!$F$63))-1.302)</f>
        <v>14.571910493634064</v>
      </c>
      <c r="C473" s="51">
        <f>I473*Calibration!$B$50*Calibration!$O$63*Calibration!$B$71/12500*'Degradation Model'!$B$26/Calibration!$B$61</f>
        <v>5.5833893961505661</v>
      </c>
      <c r="D473" s="51">
        <f t="shared" si="60"/>
        <v>6.5955261765749791</v>
      </c>
      <c r="E473" s="51">
        <f>((Calibration!$O$64-1)*F473*Calibration!$B$63/7)</f>
        <v>2.2429631394676366</v>
      </c>
      <c r="F473" s="51">
        <f t="shared" si="61"/>
        <v>21.167436670209042</v>
      </c>
      <c r="G473" s="51">
        <f t="shared" si="62"/>
        <v>23.410399809676679</v>
      </c>
      <c r="H473" s="51">
        <f t="shared" si="63"/>
        <v>76.589600190323324</v>
      </c>
      <c r="I473" s="25">
        <f t="shared" si="59"/>
        <v>4.5999999999999854</v>
      </c>
    </row>
    <row r="474" spans="1:9">
      <c r="A474" s="25">
        <f t="shared" si="58"/>
        <v>4.4999999999999858</v>
      </c>
      <c r="B474" s="51">
        <f>(Calibration!$O$63*Calibration!$B$49*SQRT(I474+Calibration!$F$61-Calibration!$F$63))-((0.32989795*(I474+Calibration!$F$61-Calibration!$F$63))-1.302)</f>
        <v>14.448155676179825</v>
      </c>
      <c r="C474" s="51">
        <f>I474*Calibration!$B$50*Calibration!$O$63*Calibration!$B$71/12500*'Degradation Model'!$B$26/Calibration!$B$61</f>
        <v>5.4620113657994667</v>
      </c>
      <c r="D474" s="51">
        <f t="shared" si="60"/>
        <v>6.437689499422345</v>
      </c>
      <c r="E474" s="51">
        <f>((Calibration!$O$64-1)*F474*Calibration!$B$63/7)</f>
        <v>2.2131248858977215</v>
      </c>
      <c r="F474" s="51">
        <f t="shared" si="61"/>
        <v>20.885845175602171</v>
      </c>
      <c r="G474" s="51">
        <f t="shared" si="62"/>
        <v>23.098970061499891</v>
      </c>
      <c r="H474" s="51">
        <f t="shared" si="63"/>
        <v>76.901029938500102</v>
      </c>
      <c r="I474" s="25">
        <f t="shared" si="59"/>
        <v>4.4999999999999858</v>
      </c>
    </row>
    <row r="475" spans="1:9">
      <c r="A475" s="25">
        <f t="shared" si="58"/>
        <v>4.3999999999999861</v>
      </c>
      <c r="B475" s="51">
        <f>(Calibration!$O$63*Calibration!$B$49*SQRT(I475+Calibration!$F$61-Calibration!$F$63))-((0.32989795*(I475+Calibration!$F$61-Calibration!$F$63))-1.302)</f>
        <v>14.322709431530308</v>
      </c>
      <c r="C475" s="51">
        <f>I475*Calibration!$B$50*Calibration!$O$63*Calibration!$B$71/12500*'Degradation Model'!$B$26/Calibration!$B$61</f>
        <v>5.3406333354483682</v>
      </c>
      <c r="D475" s="51">
        <f t="shared" si="60"/>
        <v>6.2804918125058391</v>
      </c>
      <c r="E475" s="51">
        <f>((Calibration!$O$64-1)*F475*Calibration!$B$63/7)</f>
        <v>2.1831751130473775</v>
      </c>
      <c r="F475" s="51">
        <f t="shared" si="61"/>
        <v>20.603201244036146</v>
      </c>
      <c r="G475" s="51">
        <f t="shared" si="62"/>
        <v>22.786376357083522</v>
      </c>
      <c r="H475" s="51">
        <f t="shared" si="63"/>
        <v>77.213623642916474</v>
      </c>
      <c r="I475" s="25">
        <f t="shared" si="59"/>
        <v>4.3999999999999861</v>
      </c>
    </row>
    <row r="476" spans="1:9">
      <c r="A476" s="25">
        <f t="shared" si="58"/>
        <v>4.2999999999999865</v>
      </c>
      <c r="B476" s="51">
        <f>(Calibration!$O$63*Calibration!$B$49*SQRT(I476+Calibration!$F$61-Calibration!$F$63))-((0.32989795*(I476+Calibration!$F$61-Calibration!$F$63))-1.302)</f>
        <v>14.195515792017876</v>
      </c>
      <c r="C476" s="51">
        <f>I476*Calibration!$B$50*Calibration!$O$63*Calibration!$B$71/12500*'Degradation Model'!$B$26/Calibration!$B$61</f>
        <v>5.2192553050972679</v>
      </c>
      <c r="D476" s="51">
        <f t="shared" si="60"/>
        <v>6.1239304444111156</v>
      </c>
      <c r="E476" s="51">
        <f>((Calibration!$O$64-1)*F476*Calibration!$B$63/7)</f>
        <v>2.1531076073489692</v>
      </c>
      <c r="F476" s="51">
        <f t="shared" si="61"/>
        <v>20.319446236428991</v>
      </c>
      <c r="G476" s="51">
        <f t="shared" si="62"/>
        <v>22.472553843777959</v>
      </c>
      <c r="H476" s="51">
        <f t="shared" si="63"/>
        <v>77.527446156222041</v>
      </c>
      <c r="I476" s="25">
        <f t="shared" si="59"/>
        <v>4.2999999999999865</v>
      </c>
    </row>
    <row r="477" spans="1:9">
      <c r="A477" s="25">
        <f t="shared" si="58"/>
        <v>4.1999999999999869</v>
      </c>
      <c r="B477" s="51">
        <f>(Calibration!$O$63*Calibration!$B$49*SQRT(I477+Calibration!$F$61-Calibration!$F$63))-((0.32989795*(I477+Calibration!$F$61-Calibration!$F$63))-1.302)</f>
        <v>14.066515633626185</v>
      </c>
      <c r="C477" s="51">
        <f>I477*Calibration!$B$50*Calibration!$O$63*Calibration!$B$71/12500*'Degradation Model'!$B$26/Calibration!$B$61</f>
        <v>5.0978772747461694</v>
      </c>
      <c r="D477" s="51">
        <f t="shared" si="60"/>
        <v>5.9680028624912982</v>
      </c>
      <c r="E477" s="51">
        <f>((Calibration!$O$64-1)*F477*Calibration!$B$63/7)</f>
        <v>2.122915835483179</v>
      </c>
      <c r="F477" s="51">
        <f t="shared" si="61"/>
        <v>20.034518496117485</v>
      </c>
      <c r="G477" s="51">
        <f t="shared" si="62"/>
        <v>22.157434331600665</v>
      </c>
      <c r="H477" s="51">
        <f t="shared" si="63"/>
        <v>77.842565668399331</v>
      </c>
      <c r="I477" s="25">
        <f t="shared" si="59"/>
        <v>4.1999999999999869</v>
      </c>
    </row>
    <row r="478" spans="1:9">
      <c r="A478" s="25">
        <f t="shared" si="58"/>
        <v>4.0999999999999872</v>
      </c>
      <c r="B478" s="51">
        <f>(Calibration!$O$63*Calibration!$B$49*SQRT(I478+Calibration!$F$61-Calibration!$F$63))-((0.32989795*(I478+Calibration!$F$61-Calibration!$F$63))-1.302)</f>
        <v>13.935646421014434</v>
      </c>
      <c r="C478" s="51">
        <f>I478*Calibration!$B$50*Calibration!$O$63*Calibration!$B$71/12500*'Degradation Model'!$B$26/Calibration!$B$61</f>
        <v>4.9764992443950709</v>
      </c>
      <c r="D478" s="51">
        <f t="shared" si="60"/>
        <v>5.8127066758541481</v>
      </c>
      <c r="E478" s="51">
        <f>((Calibration!$O$64-1)*F478*Calibration!$B$63/7)</f>
        <v>2.0925929176775635</v>
      </c>
      <c r="F478" s="51">
        <f t="shared" si="61"/>
        <v>19.748353096868584</v>
      </c>
      <c r="G478" s="51">
        <f t="shared" si="62"/>
        <v>21.840946014546148</v>
      </c>
      <c r="H478" s="51">
        <f t="shared" si="63"/>
        <v>78.159053985453852</v>
      </c>
      <c r="I478" s="25">
        <f t="shared" si="59"/>
        <v>4.0999999999999872</v>
      </c>
    </row>
    <row r="479" spans="1:9">
      <c r="A479" s="25">
        <f t="shared" si="58"/>
        <v>3.9999999999999871</v>
      </c>
      <c r="B479" s="51">
        <f>(Calibration!$O$63*Calibration!$B$49*SQRT(I479+Calibration!$F$61-Calibration!$F$63))-((0.32989795*(I479+Calibration!$F$61-Calibration!$F$63))-1.302)</f>
        <v>13.802841925431689</v>
      </c>
      <c r="C479" s="51">
        <f>I479*Calibration!$B$50*Calibration!$O$63*Calibration!$B$71/12500*'Degradation Model'!$B$26/Calibration!$B$61</f>
        <v>4.8551212140439697</v>
      </c>
      <c r="D479" s="51">
        <f t="shared" si="60"/>
        <v>5.6580396387491279</v>
      </c>
      <c r="E479" s="51">
        <f>((Calibration!$O$64-1)*F479*Calibration!$B$63/7)</f>
        <v>2.0621315981748385</v>
      </c>
      <c r="F479" s="51">
        <f t="shared" si="61"/>
        <v>19.460881564180816</v>
      </c>
      <c r="G479" s="51">
        <f t="shared" si="62"/>
        <v>21.523013162355653</v>
      </c>
      <c r="H479" s="51">
        <f t="shared" si="63"/>
        <v>78.476986837644347</v>
      </c>
      <c r="I479" s="25">
        <f t="shared" si="59"/>
        <v>3.9999999999999871</v>
      </c>
    </row>
    <row r="480" spans="1:9">
      <c r="A480" s="25">
        <f t="shared" ref="A480:A511" si="64">A479-0.1</f>
        <v>3.899999999999987</v>
      </c>
      <c r="B480" s="51">
        <f>(Calibration!$O$63*Calibration!$B$49*SQRT(I480+Calibration!$F$61-Calibration!$F$63))-((0.32989795*(I480+Calibration!$F$61-Calibration!$F$63))-1.302)</f>
        <v>13.668031911912749</v>
      </c>
      <c r="C480" s="51">
        <f>I480*Calibration!$B$50*Calibration!$O$63*Calibration!$B$71/12500*'Degradation Model'!$B$26/Calibration!$B$61</f>
        <v>4.7337431836928694</v>
      </c>
      <c r="D480" s="51">
        <f t="shared" si="60"/>
        <v>5.503999654393561</v>
      </c>
      <c r="E480" s="51">
        <f>((Calibration!$O$64-1)*F480*Calibration!$B$63/7)</f>
        <v>2.0315242124926765</v>
      </c>
      <c r="F480" s="51">
        <f t="shared" si="61"/>
        <v>19.172031566306309</v>
      </c>
      <c r="G480" s="51">
        <f t="shared" si="62"/>
        <v>21.203555778798986</v>
      </c>
      <c r="H480" s="51">
        <f t="shared" si="63"/>
        <v>78.796444221201014</v>
      </c>
      <c r="I480" s="25">
        <f t="shared" ref="I480:I511" si="65">I479-0.1</f>
        <v>3.899999999999987</v>
      </c>
    </row>
    <row r="481" spans="1:9">
      <c r="A481" s="25">
        <f t="shared" si="64"/>
        <v>3.7999999999999869</v>
      </c>
      <c r="B481" s="51">
        <f>(Calibration!$O$63*Calibration!$B$49*SQRT(I481+Calibration!$F$61-Calibration!$F$63))-((0.32989795*(I481+Calibration!$F$61-Calibration!$F$63))-1.302)</f>
        <v>13.531141791565323</v>
      </c>
      <c r="C481" s="51">
        <f>I481*Calibration!$B$50*Calibration!$O$63*Calibration!$B$71/12500*'Degradation Model'!$B$26/Calibration!$B$61</f>
        <v>4.6123651533417709</v>
      </c>
      <c r="D481" s="51">
        <f t="shared" si="60"/>
        <v>5.3505847792826851</v>
      </c>
      <c r="E481" s="51">
        <f>((Calibration!$O$64-1)*F481*Calibration!$B$63/7)</f>
        <v>2.0007626510357479</v>
      </c>
      <c r="F481" s="51">
        <f t="shared" si="61"/>
        <v>18.881726570848009</v>
      </c>
      <c r="G481" s="51">
        <f t="shared" si="62"/>
        <v>20.882489221883759</v>
      </c>
      <c r="H481" s="51">
        <f t="shared" si="63"/>
        <v>79.117510778116241</v>
      </c>
      <c r="I481" s="25">
        <f t="shared" si="65"/>
        <v>3.7999999999999869</v>
      </c>
    </row>
    <row r="482" spans="1:9">
      <c r="A482" s="25">
        <f t="shared" si="64"/>
        <v>3.6999999999999869</v>
      </c>
      <c r="B482" s="51">
        <f>(Calibration!$O$63*Calibration!$B$49*SQRT(I482+Calibration!$F$61-Calibration!$F$63))-((0.32989795*(I482+Calibration!$F$61-Calibration!$F$63))-1.302)</f>
        <v>13.392092234065563</v>
      </c>
      <c r="C482" s="51">
        <f>I482*Calibration!$B$50*Calibration!$O$63*Calibration!$B$71/12500*'Degradation Model'!$B$26/Calibration!$B$61</f>
        <v>4.4909871229906706</v>
      </c>
      <c r="D482" s="51">
        <f t="shared" si="60"/>
        <v>5.1977932280348895</v>
      </c>
      <c r="E482" s="51">
        <f>((Calibration!$O$64-1)*F482*Calibration!$B$63/7)</f>
        <v>1.9698383185480357</v>
      </c>
      <c r="F482" s="51">
        <f t="shared" si="61"/>
        <v>18.589885462100455</v>
      </c>
      <c r="G482" s="51">
        <f t="shared" si="62"/>
        <v>20.55972378064849</v>
      </c>
      <c r="H482" s="51">
        <f t="shared" si="63"/>
        <v>79.440276219351517</v>
      </c>
      <c r="I482" s="25">
        <f t="shared" si="65"/>
        <v>3.6999999999999869</v>
      </c>
    </row>
    <row r="483" spans="1:9">
      <c r="A483" s="25">
        <f t="shared" si="64"/>
        <v>3.5999999999999868</v>
      </c>
      <c r="B483" s="51">
        <f>(Calibration!$O$63*Calibration!$B$49*SQRT(I483+Calibration!$F$61-Calibration!$F$63))-((0.32989795*(I483+Calibration!$F$61-Calibration!$F$63))-1.302)</f>
        <v>13.250798734650541</v>
      </c>
      <c r="C483" s="51">
        <f>I483*Calibration!$B$50*Calibration!$O$63*Calibration!$B$71/12500*'Degradation Model'!$B$26/Calibration!$B$61</f>
        <v>4.3696090926395703</v>
      </c>
      <c r="D483" s="51">
        <f t="shared" si="60"/>
        <v>5.0456233788310341</v>
      </c>
      <c r="E483" s="51">
        <f>((Calibration!$O$64-1)*F483*Calibration!$B$63/7)</f>
        <v>1.938742088806469</v>
      </c>
      <c r="F483" s="51">
        <f t="shared" si="61"/>
        <v>18.296422113481576</v>
      </c>
      <c r="G483" s="51">
        <f t="shared" si="62"/>
        <v>20.235164202288043</v>
      </c>
      <c r="H483" s="51">
        <f t="shared" si="63"/>
        <v>79.764835797711953</v>
      </c>
      <c r="I483" s="25">
        <f t="shared" si="65"/>
        <v>3.5999999999999868</v>
      </c>
    </row>
    <row r="484" spans="1:9">
      <c r="A484" s="25">
        <f t="shared" si="64"/>
        <v>3.4999999999999867</v>
      </c>
      <c r="B484" s="51">
        <f>(Calibration!$O$63*Calibration!$B$49*SQRT(I484+Calibration!$F$61-Calibration!$F$63))-((0.32989795*(I484+Calibration!$F$61-Calibration!$F$63))-1.302)</f>
        <v>13.107171128901546</v>
      </c>
      <c r="C484" s="51">
        <f>I484*Calibration!$B$50*Calibration!$O$63*Calibration!$B$71/12500*'Degradation Model'!$B$26/Calibration!$B$61</f>
        <v>4.2482310622884709</v>
      </c>
      <c r="D484" s="51">
        <f t="shared" si="60"/>
        <v>4.894073779515673</v>
      </c>
      <c r="E484" s="51">
        <f>((Calibration!$O$64-1)*F484*Calibration!$B$63/7)</f>
        <v>1.9074642538524509</v>
      </c>
      <c r="F484" s="51">
        <f t="shared" si="61"/>
        <v>18.00124490841722</v>
      </c>
      <c r="G484" s="51">
        <f t="shared" si="62"/>
        <v>19.90870916226967</v>
      </c>
      <c r="H484" s="51">
        <f t="shared" si="63"/>
        <v>80.091290837730327</v>
      </c>
      <c r="I484" s="25">
        <f t="shared" si="65"/>
        <v>3.4999999999999867</v>
      </c>
    </row>
    <row r="485" spans="1:9">
      <c r="A485" s="25">
        <f t="shared" si="64"/>
        <v>3.3999999999999866</v>
      </c>
      <c r="B485" s="51">
        <f>(Calibration!$O$63*Calibration!$B$49*SQRT(I485+Calibration!$F$61-Calibration!$F$63))-((0.32989795*(I485+Calibration!$F$61-Calibration!$F$63))-1.302)</f>
        <v>12.961113047411624</v>
      </c>
      <c r="C485" s="51">
        <f>I485*Calibration!$B$50*Calibration!$O$63*Calibration!$B$71/12500*'Degradation Model'!$B$26/Calibration!$B$61</f>
        <v>4.1268530319373706</v>
      </c>
      <c r="D485" s="51">
        <f t="shared" si="60"/>
        <v>4.7431431544385276</v>
      </c>
      <c r="E485" s="51">
        <f>((Calibration!$O$64-1)*F485*Calibration!$B$63/7)</f>
        <v>1.8759944669317878</v>
      </c>
      <c r="F485" s="51">
        <f t="shared" si="61"/>
        <v>17.70425620185015</v>
      </c>
      <c r="G485" s="51">
        <f t="shared" si="62"/>
        <v>19.580250668781936</v>
      </c>
      <c r="H485" s="51">
        <f t="shared" si="63"/>
        <v>80.419749331218071</v>
      </c>
      <c r="I485" s="25">
        <f t="shared" si="65"/>
        <v>3.3999999999999866</v>
      </c>
    </row>
    <row r="486" spans="1:9">
      <c r="A486" s="25">
        <f t="shared" si="64"/>
        <v>3.2999999999999865</v>
      </c>
      <c r="B486" s="51">
        <f>(Calibration!$O$63*Calibration!$B$49*SQRT(I486+Calibration!$F$61-Calibration!$F$63))-((0.32989795*(I486+Calibration!$F$61-Calibration!$F$63))-1.302)</f>
        <v>12.812521300975618</v>
      </c>
      <c r="C486" s="51">
        <f>I486*Calibration!$B$50*Calibration!$O$63*Calibration!$B$71/12500*'Degradation Model'!$B$26/Calibration!$B$61</f>
        <v>4.0054750015862712</v>
      </c>
      <c r="D486" s="51">
        <f t="shared" si="60"/>
        <v>4.5928304121270322</v>
      </c>
      <c r="E486" s="51">
        <f>((Calibration!$O$64-1)*F486*Calibration!$B$63/7)</f>
        <v>1.8443216781606455</v>
      </c>
      <c r="F486" s="51">
        <f t="shared" si="61"/>
        <v>17.40535171310265</v>
      </c>
      <c r="G486" s="51">
        <f t="shared" si="62"/>
        <v>19.249673391263297</v>
      </c>
      <c r="H486" s="51">
        <f t="shared" si="63"/>
        <v>80.7503266087367</v>
      </c>
      <c r="I486" s="25">
        <f t="shared" si="65"/>
        <v>3.2999999999999865</v>
      </c>
    </row>
    <row r="487" spans="1:9">
      <c r="A487" s="25">
        <f t="shared" si="64"/>
        <v>3.1999999999999864</v>
      </c>
      <c r="B487" s="51">
        <f>(Calibration!$O$63*Calibration!$B$49*SQRT(I487+Calibration!$F$61-Calibration!$F$63))-((0.32989795*(I487+Calibration!$F$61-Calibration!$F$63))-1.302)</f>
        <v>12.661285185167525</v>
      </c>
      <c r="C487" s="51">
        <f>I487*Calibration!$B$50*Calibration!$O$63*Calibration!$B$71/12500*'Degradation Model'!$B$26/Calibration!$B$61</f>
        <v>3.8840969712351714</v>
      </c>
      <c r="D487" s="51">
        <f t="shared" si="60"/>
        <v>4.4431346538955978</v>
      </c>
      <c r="E487" s="51">
        <f>((Calibration!$O$64-1)*F487*Calibration!$B$63/7)</f>
        <v>1.8124340617488037</v>
      </c>
      <c r="F487" s="51">
        <f t="shared" si="61"/>
        <v>17.104419839063123</v>
      </c>
      <c r="G487" s="51">
        <f t="shared" si="62"/>
        <v>18.916853900811926</v>
      </c>
      <c r="H487" s="51">
        <f t="shared" si="63"/>
        <v>81.08314609918807</v>
      </c>
      <c r="I487" s="25">
        <f t="shared" si="65"/>
        <v>3.1999999999999864</v>
      </c>
    </row>
    <row r="488" spans="1:9">
      <c r="A488" s="25">
        <f t="shared" si="64"/>
        <v>3.0999999999999863</v>
      </c>
      <c r="B488" s="51">
        <f>(Calibration!$O$63*Calibration!$B$49*SQRT(I488+Calibration!$F$61-Calibration!$F$63))-((0.32989795*(I488+Calibration!$F$61-Calibration!$F$63))-1.302)</f>
        <v>12.507285690997318</v>
      </c>
      <c r="C488" s="51">
        <f>I488*Calibration!$B$50*Calibration!$O$63*Calibration!$B$71/12500*'Degradation Model'!$B$26/Calibration!$B$61</f>
        <v>3.7627189408840716</v>
      </c>
      <c r="D488" s="51">
        <f t="shared" si="60"/>
        <v>4.2940551835149776</v>
      </c>
      <c r="E488" s="51">
        <f>((Calibration!$O$64-1)*F488*Calibration!$B$63/7)</f>
        <v>1.7803189333831539</v>
      </c>
      <c r="F488" s="51">
        <f t="shared" si="61"/>
        <v>16.801340874512295</v>
      </c>
      <c r="G488" s="51">
        <f t="shared" si="62"/>
        <v>18.581659807895448</v>
      </c>
      <c r="H488" s="51">
        <f t="shared" si="63"/>
        <v>81.418340192104552</v>
      </c>
      <c r="I488" s="25">
        <f t="shared" si="65"/>
        <v>3.0999999999999863</v>
      </c>
    </row>
    <row r="489" spans="1:9">
      <c r="A489" s="25">
        <f t="shared" si="64"/>
        <v>2.9999999999999862</v>
      </c>
      <c r="B489" s="51">
        <f>(Calibration!$O$63*Calibration!$B$49*SQRT(I489+Calibration!$F$61-Calibration!$F$63))-((0.32989795*(I489+Calibration!$F$61-Calibration!$F$63))-1.302)</f>
        <v>12.350394605662446</v>
      </c>
      <c r="C489" s="51">
        <f>I489*Calibration!$B$50*Calibration!$O$63*Calibration!$B$71/12500*'Degradation Model'!$B$26/Calibration!$B$61</f>
        <v>3.6413409105329722</v>
      </c>
      <c r="D489" s="51">
        <f t="shared" si="60"/>
        <v>4.1455915180864382</v>
      </c>
      <c r="E489" s="51">
        <f>((Calibration!$O$64-1)*F489*Calibration!$B$63/7)</f>
        <v>1.7479626560929717</v>
      </c>
      <c r="F489" s="51">
        <f t="shared" si="61"/>
        <v>16.495986123748885</v>
      </c>
      <c r="G489" s="51">
        <f t="shared" si="62"/>
        <v>18.243948779841858</v>
      </c>
      <c r="H489" s="51">
        <f t="shared" si="63"/>
        <v>81.756051220158142</v>
      </c>
      <c r="I489" s="25">
        <f t="shared" si="65"/>
        <v>2.9999999999999862</v>
      </c>
    </row>
    <row r="490" spans="1:9">
      <c r="A490" s="25">
        <f t="shared" si="64"/>
        <v>2.8999999999999861</v>
      </c>
      <c r="B490" s="51">
        <f>(Calibration!$O$63*Calibration!$B$49*SQRT(I490+Calibration!$F$61-Calibration!$F$63))-((0.32989795*(I490+Calibration!$F$61-Calibration!$F$63))-1.302)</f>
        <v>12.190473484090914</v>
      </c>
      <c r="C490" s="51">
        <f>I490*Calibration!$B$50*Calibration!$O$63*Calibration!$B$71/12500*'Degradation Model'!$B$26/Calibration!$B$61</f>
        <v>3.5199628801818723</v>
      </c>
      <c r="D490" s="51">
        <f t="shared" si="60"/>
        <v>3.9977434002911907</v>
      </c>
      <c r="E490" s="51">
        <f>((Calibration!$O$64-1)*F490*Calibration!$B$63/7)</f>
        <v>1.7153505325696154</v>
      </c>
      <c r="F490" s="51">
        <f t="shared" si="61"/>
        <v>16.188216884382104</v>
      </c>
      <c r="G490" s="51">
        <f t="shared" si="62"/>
        <v>17.90356741695172</v>
      </c>
      <c r="H490" s="51">
        <f t="shared" si="63"/>
        <v>82.096432583048284</v>
      </c>
      <c r="I490" s="25">
        <f t="shared" si="65"/>
        <v>2.8999999999999861</v>
      </c>
    </row>
    <row r="491" spans="1:9">
      <c r="A491" s="25">
        <f t="shared" si="64"/>
        <v>2.7999999999999861</v>
      </c>
      <c r="B491" s="51">
        <f>(Calibration!$O$63*Calibration!$B$49*SQRT(I491+Calibration!$F$61-Calibration!$F$63))-((0.32989795*(I491+Calibration!$F$61-Calibration!$F$63))-1.302)</f>
        <v>12.027372467833352</v>
      </c>
      <c r="C491" s="51">
        <f>I491*Calibration!$B$50*Calibration!$O$63*Calibration!$B$71/12500*'Degradation Model'!$B$26/Calibration!$B$61</f>
        <v>3.398584849830772</v>
      </c>
      <c r="D491" s="51">
        <f t="shared" si="60"/>
        <v>3.8505108122168381</v>
      </c>
      <c r="E491" s="51">
        <f>((Calibration!$O$64-1)*F491*Calibration!$B$63/7)</f>
        <v>1.6824666814779874</v>
      </c>
      <c r="F491" s="51">
        <f t="shared" si="61"/>
        <v>15.87788328005019</v>
      </c>
      <c r="G491" s="51">
        <f t="shared" si="62"/>
        <v>17.560349961528178</v>
      </c>
      <c r="H491" s="51">
        <f t="shared" si="63"/>
        <v>82.439650038471825</v>
      </c>
      <c r="I491" s="25">
        <f t="shared" si="65"/>
        <v>2.7999999999999861</v>
      </c>
    </row>
    <row r="492" spans="1:9">
      <c r="A492" s="25">
        <f t="shared" si="64"/>
        <v>2.699999999999986</v>
      </c>
      <c r="B492" s="51">
        <f>(Calibration!$O$63*Calibration!$B$49*SQRT(I492+Calibration!$F$61-Calibration!$F$63))-((0.32989795*(I492+Calibration!$F$61-Calibration!$F$63))-1.302)</f>
        <v>11.860928922662863</v>
      </c>
      <c r="C492" s="51">
        <f>I492*Calibration!$B$50*Calibration!$O$63*Calibration!$B$71/12500*'Degradation Model'!$B$26/Calibration!$B$61</f>
        <v>3.2772068194796722</v>
      </c>
      <c r="D492" s="51">
        <f t="shared" si="60"/>
        <v>3.7038939910008541</v>
      </c>
      <c r="E492" s="51">
        <f>((Calibration!$O$64-1)*F492*Calibration!$B$63/7)</f>
        <v>1.6492938947502804</v>
      </c>
      <c r="F492" s="51">
        <f t="shared" si="61"/>
        <v>15.564822913663717</v>
      </c>
      <c r="G492" s="51">
        <f t="shared" si="62"/>
        <v>17.214116808413998</v>
      </c>
      <c r="H492" s="51">
        <f t="shared" si="63"/>
        <v>82.785883191586009</v>
      </c>
      <c r="I492" s="25">
        <f t="shared" si="65"/>
        <v>2.699999999999986</v>
      </c>
    </row>
    <row r="493" spans="1:9">
      <c r="A493" s="25">
        <f t="shared" si="64"/>
        <v>2.5999999999999859</v>
      </c>
      <c r="B493" s="51">
        <f>(Calibration!$O$63*Calibration!$B$49*SQRT(I493+Calibration!$F$61-Calibration!$F$63))-((0.32989795*(I493+Calibration!$F$61-Calibration!$F$63))-1.302)</f>
        <v>11.690965859665077</v>
      </c>
      <c r="C493" s="51">
        <f>I493*Calibration!$B$50*Calibration!$O$63*Calibration!$B$71/12500*'Degradation Model'!$B$26/Calibration!$B$61</f>
        <v>3.1558287891285732</v>
      </c>
      <c r="D493" s="51">
        <f t="shared" si="60"/>
        <v>3.5578934465782051</v>
      </c>
      <c r="E493" s="51">
        <f>((Calibration!$O$64-1)*F493*Calibration!$B$63/7)</f>
        <v>1.6158134721606776</v>
      </c>
      <c r="F493" s="51">
        <f t="shared" si="61"/>
        <v>15.248859306243283</v>
      </c>
      <c r="G493" s="51">
        <f t="shared" si="62"/>
        <v>16.864672778403961</v>
      </c>
      <c r="H493" s="51">
        <f t="shared" si="63"/>
        <v>83.135327221596043</v>
      </c>
      <c r="I493" s="25">
        <f t="shared" si="65"/>
        <v>2.5999999999999859</v>
      </c>
    </row>
    <row r="494" spans="1:9">
      <c r="A494" s="25">
        <f t="shared" si="64"/>
        <v>2.4999999999999858</v>
      </c>
      <c r="B494" s="51">
        <f>(Calibration!$O$63*Calibration!$B$49*SQRT(I494+Calibration!$F$61-Calibration!$F$63))-((0.32989795*(I494+Calibration!$F$61-Calibration!$F$63))-1.302)</f>
        <v>11.517290096218307</v>
      </c>
      <c r="C494" s="51">
        <f>I494*Calibration!$B$50*Calibration!$O$63*Calibration!$B$71/12500*'Degradation Model'!$B$26/Calibration!$B$61</f>
        <v>3.0344507587774738</v>
      </c>
      <c r="D494" s="51">
        <f t="shared" si="60"/>
        <v>3.4125099818785585</v>
      </c>
      <c r="E494" s="51">
        <f>((Calibration!$O$64-1)*F494*Calibration!$B$63/7)</f>
        <v>1.5820050285976175</v>
      </c>
      <c r="F494" s="51">
        <f t="shared" si="61"/>
        <v>14.929800078096866</v>
      </c>
      <c r="G494" s="51">
        <f t="shared" si="62"/>
        <v>16.511805106694485</v>
      </c>
      <c r="H494" s="51">
        <f t="shared" si="63"/>
        <v>83.488194893305518</v>
      </c>
      <c r="I494" s="25">
        <f t="shared" si="65"/>
        <v>2.4999999999999858</v>
      </c>
    </row>
    <row r="495" spans="1:9">
      <c r="A495" s="25">
        <f t="shared" si="64"/>
        <v>2.3999999999999857</v>
      </c>
      <c r="B495" s="51">
        <f>(Calibration!$O$63*Calibration!$B$49*SQRT(I495+Calibration!$F$61-Calibration!$F$63))-((0.32989795*(I495+Calibration!$F$61-Calibration!$F$63))-1.302)</f>
        <v>11.33969010249093</v>
      </c>
      <c r="C495" s="51">
        <f>I495*Calibration!$B$50*Calibration!$O$63*Calibration!$B$71/12500*'Degradation Model'!$B$26/Calibration!$B$61</f>
        <v>2.913072728426374</v>
      </c>
      <c r="D495" s="51">
        <f t="shared" si="60"/>
        <v>3.2677447158913342</v>
      </c>
      <c r="E495" s="51">
        <f>((Calibration!$O$64-1)*F495*Calibration!$B$63/7)</f>
        <v>1.547846268316436</v>
      </c>
      <c r="F495" s="51">
        <f t="shared" si="61"/>
        <v>14.607434818382265</v>
      </c>
      <c r="G495" s="51">
        <f t="shared" si="62"/>
        <v>16.1552810866987</v>
      </c>
      <c r="H495" s="51">
        <f t="shared" si="63"/>
        <v>83.844718913301307</v>
      </c>
      <c r="I495" s="25">
        <f t="shared" si="65"/>
        <v>2.3999999999999857</v>
      </c>
    </row>
    <row r="496" spans="1:9">
      <c r="A496" s="25">
        <f t="shared" si="64"/>
        <v>2.2999999999999856</v>
      </c>
      <c r="B496" s="51">
        <f>(Calibration!$O$63*Calibration!$B$49*SQRT(I496+Calibration!$F$61-Calibration!$F$63))-((0.32989795*(I496+Calibration!$F$61-Calibration!$F$63))-1.302)</f>
        <v>11.157933465117178</v>
      </c>
      <c r="C496" s="51">
        <f>I496*Calibration!$B$50*Calibration!$O$63*Calibration!$B$71/12500*'Degradation Model'!$B$26/Calibration!$B$61</f>
        <v>2.7916946980752746</v>
      </c>
      <c r="D496" s="51">
        <f t="shared" si="60"/>
        <v>3.1235991101084428</v>
      </c>
      <c r="E496" s="51">
        <f>((Calibration!$O$64-1)*F496*Calibration!$B$63/7)</f>
        <v>1.5133127189850257</v>
      </c>
      <c r="F496" s="51">
        <f t="shared" si="61"/>
        <v>14.281532575225622</v>
      </c>
      <c r="G496" s="51">
        <f t="shared" si="62"/>
        <v>15.794845294210647</v>
      </c>
      <c r="H496" s="51">
        <f t="shared" si="63"/>
        <v>84.205154705789354</v>
      </c>
      <c r="I496" s="25">
        <f t="shared" si="65"/>
        <v>2.2999999999999856</v>
      </c>
    </row>
    <row r="497" spans="1:9">
      <c r="A497" s="25">
        <f t="shared" si="64"/>
        <v>2.1999999999999855</v>
      </c>
      <c r="B497" s="51">
        <f>(Calibration!$O$63*Calibration!$B$49*SQRT(I497+Calibration!$F$61-Calibration!$F$63))-((0.32989795*(I497+Calibration!$F$61-Calibration!$F$63))-1.302)</f>
        <v>10.971763881436221</v>
      </c>
      <c r="C497" s="51">
        <f>I497*Calibration!$B$50*Calibration!$O$63*Calibration!$B$71/12500*'Degradation Model'!$B$26/Calibration!$B$61</f>
        <v>2.6703166677241743</v>
      </c>
      <c r="D497" s="51">
        <f t="shared" si="60"/>
        <v>2.9800749989707271</v>
      </c>
      <c r="E497" s="51">
        <f>((Calibration!$O$64-1)*F497*Calibration!$B$63/7)</f>
        <v>1.478377416410863</v>
      </c>
      <c r="F497" s="51">
        <f t="shared" si="61"/>
        <v>13.951838880406948</v>
      </c>
      <c r="G497" s="51">
        <f t="shared" si="62"/>
        <v>15.430216296817811</v>
      </c>
      <c r="H497" s="51">
        <f t="shared" si="63"/>
        <v>84.569783703182196</v>
      </c>
      <c r="I497" s="25">
        <f t="shared" si="65"/>
        <v>2.1999999999999855</v>
      </c>
    </row>
    <row r="498" spans="1:9">
      <c r="A498" s="25">
        <f t="shared" si="64"/>
        <v>2.0999999999999854</v>
      </c>
      <c r="B498" s="51">
        <f>(Calibration!$O$63*Calibration!$B$49*SQRT(I498+Calibration!$F$61-Calibration!$F$63))-((0.32989795*(I498+Calibration!$F$61-Calibration!$F$63))-1.302)</f>
        <v>10.780897573520148</v>
      </c>
      <c r="C498" s="51">
        <f>I498*Calibration!$B$50*Calibration!$O$63*Calibration!$B$71/12500*'Degradation Model'!$B$26/Calibration!$B$61</f>
        <v>2.5489386373730749</v>
      </c>
      <c r="D498" s="51">
        <f t="shared" si="60"/>
        <v>2.8371746250928385</v>
      </c>
      <c r="E498" s="51">
        <f>((Calibration!$O$64-1)*F498*Calibration!$B$63/7)</f>
        <v>1.4430105282935177</v>
      </c>
      <c r="F498" s="51">
        <f t="shared" si="61"/>
        <v>13.618072198612987</v>
      </c>
      <c r="G498" s="51">
        <f t="shared" si="62"/>
        <v>15.061082726906506</v>
      </c>
      <c r="H498" s="51">
        <f t="shared" si="63"/>
        <v>84.938917273093494</v>
      </c>
      <c r="I498" s="25">
        <f t="shared" si="65"/>
        <v>2.0999999999999854</v>
      </c>
    </row>
    <row r="499" spans="1:9">
      <c r="A499" s="25">
        <f t="shared" si="64"/>
        <v>1.9999999999999853</v>
      </c>
      <c r="B499" s="51">
        <f>(Calibration!$O$63*Calibration!$B$49*SQRT(I499+Calibration!$F$61-Calibration!$F$63))-((0.32989795*(I499+Calibration!$F$61-Calibration!$F$63))-1.302)</f>
        <v>10.585018978931032</v>
      </c>
      <c r="C499" s="51">
        <f>I499*Calibration!$B$50*Calibration!$O$63*Calibration!$B$71/12500*'Degradation Model'!$B$26/Calibration!$B$61</f>
        <v>2.4275606070219751</v>
      </c>
      <c r="D499" s="51">
        <f t="shared" si="60"/>
        <v>2.6949006802334838</v>
      </c>
      <c r="E499" s="51">
        <f>((Calibration!$O$64-1)*F499*Calibration!$B$63/7)</f>
        <v>1.407178901946065</v>
      </c>
      <c r="F499" s="51">
        <f t="shared" si="61"/>
        <v>13.279919659164516</v>
      </c>
      <c r="G499" s="51">
        <f t="shared" si="62"/>
        <v>14.687098561110581</v>
      </c>
      <c r="H499" s="51">
        <f t="shared" si="63"/>
        <v>85.312901438889412</v>
      </c>
      <c r="I499" s="25">
        <f t="shared" si="65"/>
        <v>1.9999999999999853</v>
      </c>
    </row>
    <row r="500" spans="1:9">
      <c r="A500" s="25">
        <f t="shared" si="64"/>
        <v>1.8999999999999853</v>
      </c>
      <c r="B500" s="51">
        <f>(Calibration!$O$63*Calibration!$B$49*SQRT(I500+Calibration!$F$61-Calibration!$F$63))-((0.32989795*(I500+Calibration!$F$61-Calibration!$F$63))-1.302)</f>
        <v>10.383775531491825</v>
      </c>
      <c r="C500" s="51">
        <f>I500*Calibration!$B$50*Calibration!$O$63*Calibration!$B$71/12500*'Degradation Model'!$B$26/Calibration!$B$61</f>
        <v>2.3061825766708752</v>
      </c>
      <c r="D500" s="51">
        <f t="shared" si="60"/>
        <v>2.553256353229068</v>
      </c>
      <c r="E500" s="51">
        <f>((Calibration!$O$64-1)*F500*Calibration!$B$63/7)</f>
        <v>1.3708455163295843</v>
      </c>
      <c r="F500" s="51">
        <f t="shared" si="61"/>
        <v>12.937031884720893</v>
      </c>
      <c r="G500" s="51">
        <f t="shared" si="62"/>
        <v>14.307877401050478</v>
      </c>
      <c r="H500" s="51">
        <f t="shared" si="63"/>
        <v>85.692122598949524</v>
      </c>
      <c r="I500" s="25">
        <f t="shared" si="65"/>
        <v>1.8999999999999853</v>
      </c>
    </row>
    <row r="501" spans="1:9">
      <c r="A501" s="25">
        <f t="shared" si="64"/>
        <v>1.7999999999999852</v>
      </c>
      <c r="B501" s="51">
        <f>(Calibration!$O$63*Calibration!$B$49*SQRT(I501+Calibration!$F$61-Calibration!$F$63))-((0.32989795*(I501+Calibration!$F$61-Calibration!$F$63))-1.302)</f>
        <v>10.176771285567231</v>
      </c>
      <c r="C501" s="51">
        <f>I501*Calibration!$B$50*Calibration!$O$63*Calibration!$B$71/12500*'Degradation Model'!$B$26/Calibration!$B$61</f>
        <v>2.1848045463197754</v>
      </c>
      <c r="D501" s="51">
        <f t="shared" si="60"/>
        <v>2.4122453864405329</v>
      </c>
      <c r="E501" s="51">
        <f>((Calibration!$O$64-1)*F501*Calibration!$B$63/7)</f>
        <v>1.3339688124446909</v>
      </c>
      <c r="F501" s="51">
        <f t="shared" si="61"/>
        <v>12.589016672007764</v>
      </c>
      <c r="G501" s="51">
        <f t="shared" si="62"/>
        <v>13.922985484452456</v>
      </c>
      <c r="H501" s="51">
        <f t="shared" si="63"/>
        <v>86.077014515547546</v>
      </c>
      <c r="I501" s="25">
        <f t="shared" si="65"/>
        <v>1.7999999999999852</v>
      </c>
    </row>
    <row r="502" spans="1:9">
      <c r="A502" s="25">
        <f t="shared" si="64"/>
        <v>1.6999999999999851</v>
      </c>
      <c r="B502" s="51">
        <f>(Calibration!$O$63*Calibration!$B$49*SQRT(I502+Calibration!$F$61-Calibration!$F$63))-((0.32989795*(I502+Calibration!$F$61-Calibration!$F$63))-1.302)</f>
        <v>9.9635590543190631</v>
      </c>
      <c r="C502" s="51">
        <f>I502*Calibration!$B$50*Calibration!$O$63*Calibration!$B$71/12500*'Degradation Model'!$B$26/Calibration!$B$61</f>
        <v>2.063426515968676</v>
      </c>
      <c r="D502" s="51">
        <f t="shared" si="60"/>
        <v>2.2718721427071209</v>
      </c>
      <c r="E502" s="51">
        <f>((Calibration!$O$64-1)*F502*Calibration!$B$63/7)</f>
        <v>1.2965018673728286</v>
      </c>
      <c r="F502" s="51">
        <f t="shared" si="61"/>
        <v>12.235431197026184</v>
      </c>
      <c r="G502" s="51">
        <f t="shared" si="62"/>
        <v>13.531933064399013</v>
      </c>
      <c r="H502" s="51">
        <f t="shared" si="63"/>
        <v>86.468066935600987</v>
      </c>
      <c r="I502" s="25">
        <f t="shared" si="65"/>
        <v>1.6999999999999851</v>
      </c>
    </row>
    <row r="503" spans="1:9">
      <c r="A503" s="25">
        <f t="shared" si="64"/>
        <v>1.599999999999985</v>
      </c>
      <c r="B503" s="51">
        <f>(Calibration!$O$63*Calibration!$B$49*SQRT(I503+Calibration!$F$61-Calibration!$F$63))-((0.32989795*(I503+Calibration!$F$61-Calibration!$F$63))-1.302)</f>
        <v>9.7436306153218233</v>
      </c>
      <c r="C503" s="51">
        <f>I503*Calibration!$B$50*Calibration!$O$63*Calibration!$B$71/12500*'Degradation Model'!$B$26/Calibration!$B$61</f>
        <v>1.9420484856175761</v>
      </c>
      <c r="D503" s="51">
        <f t="shared" si="60"/>
        <v>2.1321416854029605</v>
      </c>
      <c r="E503" s="51">
        <f>((Calibration!$O$64-1)*F503*Calibration!$B$63/7)</f>
        <v>1.2583913649178478</v>
      </c>
      <c r="F503" s="51">
        <f t="shared" si="61"/>
        <v>11.875772300724783</v>
      </c>
      <c r="G503" s="51">
        <f t="shared" si="62"/>
        <v>13.134163665642632</v>
      </c>
      <c r="H503" s="51">
        <f t="shared" si="63"/>
        <v>86.865836334357368</v>
      </c>
      <c r="I503" s="25">
        <f t="shared" si="65"/>
        <v>1.599999999999985</v>
      </c>
    </row>
    <row r="504" spans="1:9">
      <c r="A504" s="25">
        <f t="shared" si="64"/>
        <v>1.4999999999999849</v>
      </c>
      <c r="B504" s="51">
        <f>(Calibration!$O$63*Calibration!$B$49*SQRT(I504+Calibration!$F$61-Calibration!$F$63))-((0.32989795*(I504+Calibration!$F$61-Calibration!$F$63))-1.302)</f>
        <v>9.5164043690536246</v>
      </c>
      <c r="C504" s="51">
        <f>I504*Calibration!$B$50*Calibration!$O$63*Calibration!$B$71/12500*'Degradation Model'!$B$26/Calibration!$B$61</f>
        <v>1.8206704552664761</v>
      </c>
      <c r="D504" s="51">
        <f t="shared" si="60"/>
        <v>1.9930598750216542</v>
      </c>
      <c r="E504" s="51">
        <f>((Calibration!$O$64-1)*F504*Calibration!$B$63/7)</f>
        <v>1.2195762980981983</v>
      </c>
      <c r="F504" s="51">
        <f t="shared" si="61"/>
        <v>11.509464244075279</v>
      </c>
      <c r="G504" s="51">
        <f t="shared" si="62"/>
        <v>12.729040542173477</v>
      </c>
      <c r="H504" s="51">
        <f t="shared" si="63"/>
        <v>87.270959457826521</v>
      </c>
      <c r="I504" s="25">
        <f t="shared" si="65"/>
        <v>1.4999999999999849</v>
      </c>
    </row>
    <row r="505" spans="1:9">
      <c r="A505" s="25">
        <f t="shared" si="64"/>
        <v>1.3999999999999848</v>
      </c>
      <c r="B505" s="51">
        <f>(Calibration!$O$63*Calibration!$B$49*SQRT(I505+Calibration!$F$61-Calibration!$F$63))-((0.32989795*(I505+Calibration!$F$61-Calibration!$F$63))-1.302)</f>
        <v>9.2812095905966494</v>
      </c>
      <c r="C505" s="51">
        <f>I505*Calibration!$B$50*Calibration!$O$63*Calibration!$B$71/12500*'Degradation Model'!$B$26/Calibration!$B$61</f>
        <v>1.6992924249153765</v>
      </c>
      <c r="D505" s="51">
        <f t="shared" si="60"/>
        <v>1.8546334868752288</v>
      </c>
      <c r="E505" s="51">
        <f>((Calibration!$O$64-1)*F505*Calibration!$B$63/7)</f>
        <v>1.1799863128830423</v>
      </c>
      <c r="F505" s="51">
        <f t="shared" si="61"/>
        <v>11.135843077471879</v>
      </c>
      <c r="G505" s="51">
        <f t="shared" si="62"/>
        <v>12.315829390354921</v>
      </c>
      <c r="H505" s="51">
        <f t="shared" si="63"/>
        <v>87.684170609645079</v>
      </c>
      <c r="I505" s="25">
        <f t="shared" si="65"/>
        <v>1.3999999999999848</v>
      </c>
    </row>
    <row r="506" spans="1:9">
      <c r="A506" s="25">
        <f t="shared" si="64"/>
        <v>1.2999999999999847</v>
      </c>
      <c r="B506" s="51">
        <f>(Calibration!$O$63*Calibration!$B$49*SQRT(I506+Calibration!$F$61-Calibration!$F$63))-((0.32989795*(I506+Calibration!$F$61-Calibration!$F$63))-1.302)</f>
        <v>9.0372660493762407</v>
      </c>
      <c r="C506" s="51">
        <f>I506*Calibration!$B$50*Calibration!$O$63*Calibration!$B$71/12500*'Degradation Model'!$B$26/Calibration!$B$61</f>
        <v>1.5779143945642768</v>
      </c>
      <c r="D506" s="51">
        <f t="shared" si="60"/>
        <v>1.7168703561502252</v>
      </c>
      <c r="E506" s="51">
        <f>((Calibration!$O$64-1)*F506*Calibration!$B$63/7)</f>
        <v>1.1395395640111126</v>
      </c>
      <c r="F506" s="51">
        <f t="shared" si="61"/>
        <v>10.754136405526467</v>
      </c>
      <c r="G506" s="51">
        <f t="shared" si="62"/>
        <v>11.893675969537579</v>
      </c>
      <c r="H506" s="51">
        <f t="shared" si="63"/>
        <v>88.106324030462417</v>
      </c>
      <c r="I506" s="25">
        <f t="shared" si="65"/>
        <v>1.2999999999999847</v>
      </c>
    </row>
    <row r="507" spans="1:9">
      <c r="A507" s="25">
        <f t="shared" si="64"/>
        <v>1.1999999999999846</v>
      </c>
      <c r="B507" s="51">
        <f>(Calibration!$O$63*Calibration!$B$49*SQRT(I507+Calibration!$F$61-Calibration!$F$63))-((0.32989795*(I507+Calibration!$F$61-Calibration!$F$63))-1.302)</f>
        <v>8.7836572142861264</v>
      </c>
      <c r="C507" s="51">
        <f>I507*Calibration!$B$50*Calibration!$O$63*Calibration!$B$71/12500*'Degradation Model'!$B$26/Calibration!$B$61</f>
        <v>1.4565363642131768</v>
      </c>
      <c r="D507" s="51">
        <f t="shared" si="60"/>
        <v>1.5797795589760066</v>
      </c>
      <c r="E507" s="51">
        <f>((Calibration!$O$64-1)*F507*Calibration!$B$63/7)</f>
        <v>1.0981398949143912</v>
      </c>
      <c r="F507" s="51">
        <f t="shared" si="61"/>
        <v>10.363436773262134</v>
      </c>
      <c r="G507" s="51">
        <f t="shared" si="62"/>
        <v>11.461576668176525</v>
      </c>
      <c r="H507" s="51">
        <f t="shared" si="63"/>
        <v>88.538423331823481</v>
      </c>
      <c r="I507" s="25">
        <f t="shared" si="65"/>
        <v>1.1999999999999846</v>
      </c>
    </row>
    <row r="508" spans="1:9">
      <c r="A508" s="25">
        <f t="shared" si="64"/>
        <v>1.0999999999999845</v>
      </c>
      <c r="B508" s="51">
        <f>(Calibration!$O$63*Calibration!$B$49*SQRT(I508+Calibration!$F$61-Calibration!$F$63))-((0.32989795*(I508+Calibration!$F$61-Calibration!$F$63))-1.302)</f>
        <v>8.5192943891199686</v>
      </c>
      <c r="C508" s="51">
        <f>I508*Calibration!$B$50*Calibration!$O$63*Calibration!$B$71/12500*'Degradation Model'!$B$26/Calibration!$B$61</f>
        <v>1.3351583338620772</v>
      </c>
      <c r="D508" s="51">
        <f t="shared" si="60"/>
        <v>1.4433716417565592</v>
      </c>
      <c r="E508" s="51">
        <f>((Calibration!$O$64-1)*F508*Calibration!$B$63/7)</f>
        <v>1.0556730617048171</v>
      </c>
      <c r="F508" s="51">
        <f t="shared" si="61"/>
        <v>9.9626660308765285</v>
      </c>
      <c r="G508" s="51">
        <f t="shared" si="62"/>
        <v>11.018339092581346</v>
      </c>
      <c r="H508" s="51">
        <f t="shared" si="63"/>
        <v>88.981660907418657</v>
      </c>
      <c r="I508" s="25">
        <f t="shared" si="65"/>
        <v>1.0999999999999845</v>
      </c>
    </row>
    <row r="509" spans="1:9">
      <c r="A509" s="25">
        <f t="shared" si="64"/>
        <v>0.99999999999998457</v>
      </c>
      <c r="B509" s="51">
        <f>(Calibration!$O$63*Calibration!$B$49*SQRT(I509+Calibration!$F$61-Calibration!$F$63))-((0.32989795*(I509+Calibration!$F$61-Calibration!$F$63))-1.302)</f>
        <v>8.242867717600781</v>
      </c>
      <c r="C509" s="51">
        <f>I509*Calibration!$B$50*Calibration!$O$63*Calibration!$B$71/12500*'Degradation Model'!$B$26/Calibration!$B$61</f>
        <v>1.2137803035109778</v>
      </c>
      <c r="D509" s="51">
        <f t="shared" si="60"/>
        <v>1.3076589165221848</v>
      </c>
      <c r="E509" s="51">
        <f>((Calibration!$O$64-1)*F509*Calibration!$B$63/7)</f>
        <v>1.0120015728210598</v>
      </c>
      <c r="F509" s="51">
        <f t="shared" si="61"/>
        <v>9.5505266341229653</v>
      </c>
      <c r="G509" s="51">
        <f t="shared" si="62"/>
        <v>10.562528206944025</v>
      </c>
      <c r="H509" s="51">
        <f t="shared" si="63"/>
        <v>89.437471793055977</v>
      </c>
      <c r="I509" s="25">
        <f t="shared" si="65"/>
        <v>0.99999999999998457</v>
      </c>
    </row>
    <row r="510" spans="1:9">
      <c r="A510" s="25">
        <f t="shared" si="64"/>
        <v>0.89999999999998459</v>
      </c>
      <c r="B510" s="51">
        <f>(Calibration!$O$63*Calibration!$B$49*SQRT(I510+Calibration!$F$61-Calibration!$F$63))-((0.32989795*(I510+Calibration!$F$61-Calibration!$F$63))-1.302)</f>
        <v>7.9527776559869778</v>
      </c>
      <c r="C510" s="51">
        <f>I510*Calibration!$B$50*Calibration!$O$63*Calibration!$B$71/12500*'Degradation Model'!$B$26/Calibration!$B$61</f>
        <v>1.0924022731598781</v>
      </c>
      <c r="D510" s="51">
        <f t="shared" si="60"/>
        <v>1.1726558487448011</v>
      </c>
      <c r="E510" s="51">
        <f>((Calibration!$O$64-1)*F510*Calibration!$B$63/7)</f>
        <v>0.9669574687606336</v>
      </c>
      <c r="F510" s="51">
        <f t="shared" si="61"/>
        <v>9.1254335047317792</v>
      </c>
      <c r="G510" s="51">
        <f t="shared" si="62"/>
        <v>10.092390973492412</v>
      </c>
      <c r="H510" s="51">
        <f t="shared" si="63"/>
        <v>89.907609026507586</v>
      </c>
      <c r="I510" s="25">
        <f t="shared" si="65"/>
        <v>0.89999999999998459</v>
      </c>
    </row>
    <row r="511" spans="1:9">
      <c r="A511" s="25">
        <f t="shared" si="64"/>
        <v>0.79999999999998461</v>
      </c>
      <c r="B511" s="51">
        <f>(Calibration!$O$63*Calibration!$B$49*SQRT(I511+Calibration!$F$61-Calibration!$F$63))-((0.32989795*(I511+Calibration!$F$61-Calibration!$F$63))-1.302)</f>
        <v>7.6470364586737434</v>
      </c>
      <c r="C511" s="51">
        <f>I511*Calibration!$B$50*Calibration!$O$63*Calibration!$B$71/12500*'Degradation Model'!$B$26/Calibration!$B$61</f>
        <v>0.97102424280877842</v>
      </c>
      <c r="D511" s="51">
        <f t="shared" si="60"/>
        <v>1.0383795782602918</v>
      </c>
      <c r="E511" s="51">
        <f>((Calibration!$O$64-1)*F511*Calibration!$B$63/7)</f>
        <v>0.9203319384062072</v>
      </c>
      <c r="F511" s="51">
        <f t="shared" si="61"/>
        <v>8.6854160369340345</v>
      </c>
      <c r="G511" s="51">
        <f t="shared" si="62"/>
        <v>9.6057479753402415</v>
      </c>
      <c r="H511" s="51">
        <f t="shared" si="63"/>
        <v>90.394252024659764</v>
      </c>
      <c r="I511" s="25">
        <f t="shared" si="65"/>
        <v>0.79999999999998461</v>
      </c>
    </row>
    <row r="512" spans="1:9">
      <c r="A512" s="25">
        <f t="shared" ref="A512:A518" si="66">A511-0.1</f>
        <v>0.69999999999998463</v>
      </c>
      <c r="B512" s="51">
        <f>(Calibration!$O$63*Calibration!$B$49*SQRT(I512+Calibration!$F$61-Calibration!$F$63))-((0.32989795*(I512+Calibration!$F$61-Calibration!$F$63))-1.302)</f>
        <v>7.3231218856000879</v>
      </c>
      <c r="C512" s="51">
        <f>I512*Calibration!$B$50*Calibration!$O$63*Calibration!$B$71/12500*'Degradation Model'!$B$26/Calibration!$B$61</f>
        <v>0.84964621245767868</v>
      </c>
      <c r="D512" s="51">
        <f t="shared" si="60"/>
        <v>0.90485063812857669</v>
      </c>
      <c r="E512" s="51">
        <f>((Calibration!$O$64-1)*F512*Calibration!$B$63/7)</f>
        <v>0.87185989360957639</v>
      </c>
      <c r="F512" s="51">
        <f t="shared" si="61"/>
        <v>8.2279725237286652</v>
      </c>
      <c r="G512" s="51">
        <f t="shared" si="62"/>
        <v>9.0998324173382414</v>
      </c>
      <c r="H512" s="51">
        <f t="shared" si="63"/>
        <v>90.900167582661766</v>
      </c>
      <c r="I512" s="25">
        <f t="shared" ref="I512:I518" si="67">I511-0.1</f>
        <v>0.69999999999998463</v>
      </c>
    </row>
    <row r="513" spans="1:9">
      <c r="A513" s="25">
        <f t="shared" si="66"/>
        <v>0.59999999999998466</v>
      </c>
      <c r="B513" s="51">
        <f>(Calibration!$O$63*Calibration!$B$49*SQRT(I513+Calibration!$F$61-Calibration!$F$63))-((0.32989795*(I513+Calibration!$F$61-Calibration!$F$63))-1.302)</f>
        <v>6.9777513320779478</v>
      </c>
      <c r="C513" s="51">
        <f>I513*Calibration!$B$50*Calibration!$O$63*Calibration!$B$71/12500*'Degradation Model'!$B$26/Calibration!$B$61</f>
        <v>0.72826818210657929</v>
      </c>
      <c r="D513" s="51">
        <f t="shared" si="60"/>
        <v>0.77209397953439107</v>
      </c>
      <c r="E513" s="51">
        <f>((Calibration!$O$64-1)*F513*Calibration!$B$63/7)</f>
        <v>0.82119614393304297</v>
      </c>
      <c r="F513" s="51">
        <f t="shared" si="61"/>
        <v>7.7498453116123391</v>
      </c>
      <c r="G513" s="51">
        <f t="shared" si="62"/>
        <v>8.571041455545382</v>
      </c>
      <c r="H513" s="51">
        <f t="shared" si="63"/>
        <v>91.428958544454616</v>
      </c>
      <c r="I513" s="25">
        <f t="shared" si="67"/>
        <v>0.59999999999998466</v>
      </c>
    </row>
    <row r="514" spans="1:9">
      <c r="A514" s="25">
        <f t="shared" si="66"/>
        <v>0.49999999999998468</v>
      </c>
      <c r="B514" s="51">
        <f>(Calibration!$O$63*Calibration!$B$49*SQRT(I514+Calibration!$F$61-Calibration!$F$63))-((0.32989795*(I514+Calibration!$F$61-Calibration!$F$63))-1.302)</f>
        <v>6.6065160593077534</v>
      </c>
      <c r="C514" s="51">
        <f>I514*Calibration!$B$50*Calibration!$O$63*Calibration!$B$71/12500*'Degradation Model'!$B$26/Calibration!$B$61</f>
        <v>0.60689015175547967</v>
      </c>
      <c r="D514" s="51">
        <f t="shared" si="60"/>
        <v>0.64014049299531639</v>
      </c>
      <c r="E514" s="51">
        <f>((Calibration!$O$64-1)*F514*Calibration!$B$63/7)</f>
        <v>0.76787679984290202</v>
      </c>
      <c r="F514" s="51">
        <f t="shared" si="61"/>
        <v>7.2466565523030697</v>
      </c>
      <c r="G514" s="51">
        <f t="shared" si="62"/>
        <v>8.0145333521459712</v>
      </c>
      <c r="H514" s="51">
        <f t="shared" si="63"/>
        <v>91.985466647854025</v>
      </c>
      <c r="I514" s="25">
        <f t="shared" si="67"/>
        <v>0.49999999999998468</v>
      </c>
    </row>
    <row r="515" spans="1:9">
      <c r="A515" s="25">
        <f t="shared" si="66"/>
        <v>0.3999999999999847</v>
      </c>
      <c r="B515" s="51">
        <f>(Calibration!$O$63*Calibration!$B$49*SQRT(I515+Calibration!$F$61-Calibration!$F$63))-((0.32989795*(I515+Calibration!$F$61-Calibration!$F$63))-1.302)</f>
        <v>6.2032523303785663</v>
      </c>
      <c r="C515" s="51">
        <f>I515*Calibration!$B$50*Calibration!$O$63*Calibration!$B$71/12500*'Degradation Model'!$B$26/Calibration!$B$61</f>
        <v>0.48551212140437999</v>
      </c>
      <c r="D515" s="51">
        <f t="shared" si="60"/>
        <v>0.50902938410803156</v>
      </c>
      <c r="E515" s="51">
        <f>((Calibration!$O$64-1)*F515*Calibration!$B$63/7)</f>
        <v>0.71125288819240817</v>
      </c>
      <c r="F515" s="51">
        <f t="shared" si="61"/>
        <v>6.7122817144865978</v>
      </c>
      <c r="G515" s="51">
        <f t="shared" si="62"/>
        <v>7.4235346026790063</v>
      </c>
      <c r="H515" s="51">
        <f t="shared" si="63"/>
        <v>92.576465397320987</v>
      </c>
      <c r="I515" s="25">
        <f t="shared" si="67"/>
        <v>0.3999999999999847</v>
      </c>
    </row>
    <row r="516" spans="1:9">
      <c r="A516" s="25">
        <f t="shared" si="66"/>
        <v>0.29999999999998472</v>
      </c>
      <c r="B516" s="51">
        <f>(Calibration!$O$63*Calibration!$B$49*SQRT(I516+Calibration!$F$61-Calibration!$F$63))-((0.32989795*(I516+Calibration!$F$61-Calibration!$F$63))-1.302)</f>
        <v>5.7588729298616315</v>
      </c>
      <c r="C516" s="51">
        <f>I516*Calibration!$B$50*Calibration!$O$63*Calibration!$B$71/12500*'Degradation Model'!$B$26/Calibration!$B$61</f>
        <v>0.36413409105328043</v>
      </c>
      <c r="D516" s="51">
        <f t="shared" si="60"/>
        <v>0.37881213944195735</v>
      </c>
      <c r="E516" s="51">
        <f>((Calibration!$O$64-1)*F516*Calibration!$B$63/7)</f>
        <v>0.65036695687786661</v>
      </c>
      <c r="F516" s="51">
        <f t="shared" si="61"/>
        <v>6.1376850693035889</v>
      </c>
      <c r="G516" s="51">
        <f t="shared" si="62"/>
        <v>6.7880520261814556</v>
      </c>
      <c r="H516" s="51">
        <f t="shared" si="63"/>
        <v>93.211947973818539</v>
      </c>
      <c r="I516" s="25">
        <f t="shared" si="67"/>
        <v>0.29999999999998472</v>
      </c>
    </row>
    <row r="517" spans="1:9">
      <c r="A517" s="25">
        <f t="shared" si="66"/>
        <v>0.19999999999998472</v>
      </c>
      <c r="B517" s="51">
        <f>(Calibration!$O$63*Calibration!$B$49*SQRT(I517+Calibration!$F$61-Calibration!$F$63))-((0.32989795*(I517+Calibration!$F$61-Calibration!$F$63))-1.302)</f>
        <v>5.2589550575732682</v>
      </c>
      <c r="C517" s="51">
        <f>I517*Calibration!$B$50*Calibration!$O$63*Calibration!$B$71/12500*'Degradation Model'!$B$26/Calibration!$B$61</f>
        <v>0.24275606070218073</v>
      </c>
      <c r="D517" s="51">
        <f t="shared" si="60"/>
        <v>0.24955977992920203</v>
      </c>
      <c r="E517" s="51">
        <f>((Calibration!$O$64-1)*F517*Calibration!$B$63/7)</f>
        <v>0.58369824963820627</v>
      </c>
      <c r="F517" s="51">
        <f t="shared" si="61"/>
        <v>5.50851483750247</v>
      </c>
      <c r="G517" s="51">
        <f t="shared" si="62"/>
        <v>6.0922130871406761</v>
      </c>
      <c r="H517" s="51">
        <f t="shared" si="63"/>
        <v>93.907786912859322</v>
      </c>
      <c r="I517" s="25">
        <f t="shared" si="67"/>
        <v>0.19999999999998472</v>
      </c>
    </row>
    <row r="518" spans="1:9">
      <c r="A518" s="25">
        <f t="shared" si="66"/>
        <v>9.9999999999984712E-2</v>
      </c>
      <c r="B518" s="51">
        <f>(Calibration!$O$63*Calibration!$B$49*SQRT(I518+Calibration!$F$61-Calibration!$F$63))-((0.32989795*(I518+Calibration!$F$61-Calibration!$F$63))-1.302)</f>
        <v>4.6779410672373976</v>
      </c>
      <c r="C518" s="51">
        <f>I518*Calibration!$B$50*Calibration!$O$63*Calibration!$B$71/12500*'Degradation Model'!$B$26/Calibration!$B$61</f>
        <v>0.12137803035108111</v>
      </c>
      <c r="D518" s="51">
        <f>C518</f>
        <v>0.12137803035108111</v>
      </c>
      <c r="E518" s="51">
        <f>((Calibration!$O$64-1)*F518*Calibration!$B$63/7)</f>
        <v>0.50854980686368245</v>
      </c>
      <c r="F518" s="51">
        <f t="shared" si="61"/>
        <v>4.7993190975884783</v>
      </c>
      <c r="G518" s="51">
        <f t="shared" si="62"/>
        <v>5.3078689044521603</v>
      </c>
      <c r="H518" s="51">
        <f t="shared" si="63"/>
        <v>94.692131095547836</v>
      </c>
      <c r="I518" s="25">
        <f t="shared" si="67"/>
        <v>9.9999999999984712E-2</v>
      </c>
    </row>
  </sheetData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T39"/>
  <sheetViews>
    <sheetView workbookViewId="0"/>
  </sheetViews>
  <sheetFormatPr defaultRowHeight="14.25"/>
  <cols>
    <col min="1" max="1" width="22.25" customWidth="1"/>
    <col min="2" max="2" width="16.875" customWidth="1"/>
    <col min="3" max="3" width="13.375" customWidth="1"/>
    <col min="4" max="4" width="17" customWidth="1"/>
    <col min="5" max="5" width="10.125" customWidth="1"/>
    <col min="6" max="6" width="13.75" customWidth="1"/>
    <col min="7" max="7" width="10.75" customWidth="1"/>
    <col min="8" max="8" width="11.375" customWidth="1"/>
    <col min="9" max="9" width="13.75" customWidth="1"/>
    <col min="10" max="10" width="12.75" customWidth="1"/>
    <col min="11" max="11" width="13.375" customWidth="1"/>
    <col min="12" max="12" width="12" customWidth="1"/>
    <col min="13" max="13" width="14.125" customWidth="1"/>
    <col min="14" max="14" width="12.875" customWidth="1"/>
    <col min="15" max="15" width="14.75" customWidth="1"/>
    <col min="16" max="16" width="12.375" customWidth="1"/>
    <col min="17" max="17" width="17.625" customWidth="1"/>
    <col min="18" max="18" width="10.75" customWidth="1"/>
    <col min="19" max="19" width="38.5" customWidth="1"/>
    <col min="20" max="20" width="13.75" customWidth="1"/>
    <col min="21" max="24" width="10.75" customWidth="1"/>
    <col min="25" max="25" width="13.75" customWidth="1"/>
    <col min="26" max="26" width="15" customWidth="1"/>
    <col min="27" max="27" width="13.875" customWidth="1"/>
    <col min="28" max="28" width="12.125" customWidth="1"/>
  </cols>
  <sheetData>
    <row r="1" spans="1:20">
      <c r="A1" s="8"/>
      <c r="B1" s="8"/>
      <c r="C1" s="8"/>
      <c r="D1" s="8"/>
      <c r="E1" s="8"/>
      <c r="F1" s="8" t="s">
        <v>60</v>
      </c>
      <c r="G1" s="8" t="s">
        <v>292</v>
      </c>
      <c r="H1" s="8"/>
      <c r="I1" s="8" t="s">
        <v>3</v>
      </c>
      <c r="J1" s="8"/>
      <c r="K1" s="8"/>
      <c r="L1" s="8" t="s">
        <v>3</v>
      </c>
      <c r="M1" s="8" t="s">
        <v>4</v>
      </c>
      <c r="N1" s="8"/>
      <c r="O1" s="8" t="s">
        <v>6</v>
      </c>
      <c r="P1" s="34" t="s">
        <v>50</v>
      </c>
      <c r="Q1" s="35"/>
      <c r="R1" s="35"/>
      <c r="S1" s="35"/>
      <c r="T1" s="34" t="s">
        <v>50</v>
      </c>
    </row>
    <row r="2" spans="1:20">
      <c r="A2" s="8" t="s">
        <v>67</v>
      </c>
      <c r="B2" s="8" t="s">
        <v>16</v>
      </c>
      <c r="C2" s="8" t="s">
        <v>293</v>
      </c>
      <c r="D2" s="8" t="s">
        <v>26</v>
      </c>
      <c r="E2" s="8" t="s">
        <v>19</v>
      </c>
      <c r="F2" s="8" t="s">
        <v>71</v>
      </c>
      <c r="G2" s="8" t="s">
        <v>294</v>
      </c>
      <c r="H2" s="8" t="s">
        <v>73</v>
      </c>
      <c r="I2" s="8" t="s">
        <v>74</v>
      </c>
      <c r="J2" s="8" t="s">
        <v>9</v>
      </c>
      <c r="K2" s="8" t="s">
        <v>10</v>
      </c>
      <c r="L2" s="8" t="s">
        <v>11</v>
      </c>
      <c r="M2" s="8" t="s">
        <v>10</v>
      </c>
      <c r="N2" s="8" t="s">
        <v>12</v>
      </c>
      <c r="O2" s="8" t="s">
        <v>52</v>
      </c>
      <c r="P2" s="34" t="s">
        <v>52</v>
      </c>
      <c r="Q2" s="34" t="s">
        <v>295</v>
      </c>
      <c r="R2" s="34" t="s">
        <v>77</v>
      </c>
      <c r="S2" s="35" t="s">
        <v>79</v>
      </c>
      <c r="T2" s="34" t="s">
        <v>11</v>
      </c>
    </row>
    <row r="4" spans="1:20">
      <c r="A4" s="27" t="s">
        <v>296</v>
      </c>
      <c r="B4" s="27" t="s">
        <v>106</v>
      </c>
      <c r="C4" s="36">
        <f>15/12</f>
        <v>1.25</v>
      </c>
      <c r="D4" s="27">
        <v>17300</v>
      </c>
      <c r="E4" s="36">
        <v>4.4400000000000004</v>
      </c>
      <c r="F4" s="36">
        <v>0</v>
      </c>
      <c r="G4" s="36">
        <v>0</v>
      </c>
      <c r="H4" s="13">
        <f>VLOOKUP(B4,'Aging Factor'!A145:G242,4,1)</f>
        <v>1.35</v>
      </c>
      <c r="I4" s="13">
        <f>VLOOKUP(B4,'Aging Factor'!A145:G242,7,1)</f>
        <v>2.9449999999999998</v>
      </c>
      <c r="J4" s="13">
        <f>(H4*Calibration!$B$49*SQRT(C4))-((0.32989795*C4)-1.302)</f>
        <v>11.304114167705272</v>
      </c>
      <c r="K4" s="13">
        <f>C4*Calibration!$B$50*H4*(D4/C4)/12500*'Degradation Model'!$B$26/E4</f>
        <v>3.9363061672588815</v>
      </c>
      <c r="L4" s="13">
        <f t="shared" ref="L4:L19" si="0">N4-M4</f>
        <v>0</v>
      </c>
      <c r="M4" s="13">
        <f t="shared" ref="M4:M19" si="1">J4+K4</f>
        <v>15.240420334964153</v>
      </c>
      <c r="N4" s="13">
        <f t="shared" ref="N4:N19" si="2">M4+((I4-1)*M4*F4/7)</f>
        <v>15.240420334964153</v>
      </c>
      <c r="O4" s="13">
        <f t="shared" ref="O4:O19" si="3">100-N4</f>
        <v>84.759579665035844</v>
      </c>
      <c r="P4" s="20">
        <v>87</v>
      </c>
      <c r="Q4" s="34" t="s">
        <v>297</v>
      </c>
      <c r="R4" s="20">
        <f t="shared" ref="R4:R19" si="4">O4-P4</f>
        <v>-2.2404203349641563</v>
      </c>
      <c r="S4" s="35" t="s">
        <v>298</v>
      </c>
      <c r="T4" s="20">
        <f t="shared" ref="T4:T13" si="5">100-P4</f>
        <v>13</v>
      </c>
    </row>
    <row r="5" spans="1:20">
      <c r="A5" s="27" t="s">
        <v>299</v>
      </c>
      <c r="B5" s="27" t="s">
        <v>106</v>
      </c>
      <c r="C5" s="36">
        <f>17.75/12</f>
        <v>1.4791666666666667</v>
      </c>
      <c r="D5" s="27">
        <v>22500</v>
      </c>
      <c r="E5" s="36">
        <v>4</v>
      </c>
      <c r="F5" s="36">
        <v>0</v>
      </c>
      <c r="G5" s="36">
        <v>0</v>
      </c>
      <c r="H5" s="13">
        <f>VLOOKUP(B5,'Aging Factor'!A146:G243,4,1)</f>
        <v>1.35</v>
      </c>
      <c r="I5" s="13">
        <f>VLOOKUP(B5,'Aging Factor'!A146:G243,7,1)</f>
        <v>2.9449999999999998</v>
      </c>
      <c r="J5" s="13">
        <f>(H5*Calibration!$B$49*SQRT(C5))-((0.32989795*C5)-1.302)</f>
        <v>12.143021725835473</v>
      </c>
      <c r="K5" s="13">
        <f>C5*Calibration!$B$50*H5*(D5/C5)/12500*'Degradation Model'!$B$26/E5</f>
        <v>5.6826154062017684</v>
      </c>
      <c r="L5" s="13">
        <f t="shared" si="0"/>
        <v>0</v>
      </c>
      <c r="M5" s="13">
        <f t="shared" si="1"/>
        <v>17.82563713203724</v>
      </c>
      <c r="N5" s="13">
        <f t="shared" si="2"/>
        <v>17.82563713203724</v>
      </c>
      <c r="O5" s="13">
        <f t="shared" si="3"/>
        <v>82.174362867962756</v>
      </c>
      <c r="P5" s="20">
        <v>85</v>
      </c>
      <c r="Q5" s="34" t="s">
        <v>297</v>
      </c>
      <c r="R5" s="20">
        <f t="shared" si="4"/>
        <v>-2.8256371320372438</v>
      </c>
      <c r="S5" s="35" t="s">
        <v>300</v>
      </c>
      <c r="T5" s="20">
        <f t="shared" si="5"/>
        <v>15</v>
      </c>
    </row>
    <row r="6" spans="1:20">
      <c r="A6" s="27" t="s">
        <v>301</v>
      </c>
      <c r="B6" s="27" t="s">
        <v>106</v>
      </c>
      <c r="C6" s="36">
        <f>16/12</f>
        <v>1.3333333333333333</v>
      </c>
      <c r="D6" s="27">
        <v>12500</v>
      </c>
      <c r="E6" s="36">
        <v>5.0999999999999996</v>
      </c>
      <c r="F6" s="36">
        <v>0</v>
      </c>
      <c r="G6" s="36">
        <v>0</v>
      </c>
      <c r="H6" s="13">
        <f>VLOOKUP(B6,'Aging Factor'!A147:G244,4,1)</f>
        <v>1.35</v>
      </c>
      <c r="I6" s="13">
        <f>VLOOKUP(B6,'Aging Factor'!A147:G244,7,1)</f>
        <v>2.9449999999999998</v>
      </c>
      <c r="J6" s="13">
        <f>(H6*Calibration!$B$49*SQRT(C6))-((0.32989795*C6)-1.302)</f>
        <v>11.618171581669396</v>
      </c>
      <c r="K6" s="13">
        <f>C6*Calibration!$B$50*H6*(D6/C6)/12500*'Degradation Model'!$B$26/E6</f>
        <v>2.4760851443144962</v>
      </c>
      <c r="L6" s="13">
        <f t="shared" si="0"/>
        <v>0</v>
      </c>
      <c r="M6" s="13">
        <f t="shared" si="1"/>
        <v>14.094256725983891</v>
      </c>
      <c r="N6" s="13">
        <f t="shared" si="2"/>
        <v>14.094256725983891</v>
      </c>
      <c r="O6" s="13">
        <f t="shared" si="3"/>
        <v>85.905743274016103</v>
      </c>
      <c r="P6" s="20">
        <v>83</v>
      </c>
      <c r="Q6" s="34" t="s">
        <v>302</v>
      </c>
      <c r="R6" s="20">
        <f t="shared" si="4"/>
        <v>2.9057432740161033</v>
      </c>
      <c r="S6" s="35"/>
      <c r="T6" s="20">
        <f t="shared" si="5"/>
        <v>17</v>
      </c>
    </row>
    <row r="7" spans="1:20">
      <c r="A7" s="27" t="s">
        <v>303</v>
      </c>
      <c r="B7" s="27" t="s">
        <v>106</v>
      </c>
      <c r="C7" s="36">
        <f>15/12</f>
        <v>1.25</v>
      </c>
      <c r="D7" s="27">
        <v>15000</v>
      </c>
      <c r="E7" s="36">
        <v>4</v>
      </c>
      <c r="F7" s="36">
        <v>0</v>
      </c>
      <c r="G7" s="36">
        <v>0</v>
      </c>
      <c r="H7" s="13">
        <f>VLOOKUP(B7,'Aging Factor'!A151:G248,4,1)</f>
        <v>1.35</v>
      </c>
      <c r="I7" s="13">
        <f>VLOOKUP(B7,'Aging Factor'!A151:G248,7,1)</f>
        <v>2.9449999999999998</v>
      </c>
      <c r="J7" s="13">
        <f>(H7*Calibration!$B$49*SQRT(C7))-((0.32989795*C7)-1.302)</f>
        <v>11.304114167705272</v>
      </c>
      <c r="K7" s="13">
        <f>C7*Calibration!$B$50*H7*(D7/C7)/12500*'Degradation Model'!$B$26/E7</f>
        <v>3.7884102708011786</v>
      </c>
      <c r="L7" s="13">
        <f t="shared" si="0"/>
        <v>0</v>
      </c>
      <c r="M7" s="13">
        <f t="shared" si="1"/>
        <v>15.092524438506452</v>
      </c>
      <c r="N7" s="13">
        <f t="shared" si="2"/>
        <v>15.092524438506452</v>
      </c>
      <c r="O7" s="13">
        <f t="shared" si="3"/>
        <v>84.907475561493555</v>
      </c>
      <c r="P7" s="20">
        <v>84.5</v>
      </c>
      <c r="Q7" s="34" t="s">
        <v>302</v>
      </c>
      <c r="R7" s="20">
        <f t="shared" si="4"/>
        <v>0.40747556149355546</v>
      </c>
      <c r="S7" s="35"/>
      <c r="T7" s="20">
        <f t="shared" si="5"/>
        <v>15.5</v>
      </c>
    </row>
    <row r="8" spans="1:20">
      <c r="A8" s="27" t="s">
        <v>304</v>
      </c>
      <c r="B8" s="27" t="s">
        <v>106</v>
      </c>
      <c r="C8" s="36">
        <f>16/12</f>
        <v>1.3333333333333333</v>
      </c>
      <c r="D8" s="27">
        <v>17500</v>
      </c>
      <c r="E8" s="36">
        <v>4</v>
      </c>
      <c r="F8" s="36">
        <v>0</v>
      </c>
      <c r="G8" s="36">
        <v>0</v>
      </c>
      <c r="H8" s="13">
        <f>VLOOKUP(B8,'Aging Factor'!A153:G250,4,1)</f>
        <v>1.35</v>
      </c>
      <c r="I8" s="13">
        <f>VLOOKUP(B8,'Aging Factor'!A153:G250,7,1)</f>
        <v>2.9449999999999998</v>
      </c>
      <c r="J8" s="13">
        <f>(H8*Calibration!$B$49*SQRT(C8))-((0.32989795*C8)-1.302)</f>
        <v>11.618171581669396</v>
      </c>
      <c r="K8" s="13">
        <f>C8*Calibration!$B$50*H8*(D8/C8)/12500*'Degradation Model'!$B$26/E8</f>
        <v>4.4198119826013746</v>
      </c>
      <c r="L8" s="13">
        <f t="shared" si="0"/>
        <v>0</v>
      </c>
      <c r="M8" s="13">
        <f t="shared" si="1"/>
        <v>16.037983564270771</v>
      </c>
      <c r="N8" s="13">
        <f t="shared" si="2"/>
        <v>16.037983564270771</v>
      </c>
      <c r="O8" s="13">
        <f t="shared" si="3"/>
        <v>83.962016435729225</v>
      </c>
      <c r="P8" s="35">
        <v>78.7</v>
      </c>
      <c r="Q8" s="34" t="s">
        <v>302</v>
      </c>
      <c r="R8" s="20">
        <f t="shared" si="4"/>
        <v>5.2620164357292225</v>
      </c>
      <c r="S8" s="35"/>
      <c r="T8" s="20">
        <f t="shared" si="5"/>
        <v>21.299999999999997</v>
      </c>
    </row>
    <row r="9" spans="1:20">
      <c r="A9" s="27" t="s">
        <v>305</v>
      </c>
      <c r="B9" s="27" t="s">
        <v>106</v>
      </c>
      <c r="C9" s="36">
        <f>15.5/12</f>
        <v>1.2916666666666667</v>
      </c>
      <c r="D9" s="27">
        <v>22400</v>
      </c>
      <c r="E9" s="36">
        <v>4</v>
      </c>
      <c r="F9" s="36">
        <v>0</v>
      </c>
      <c r="G9" s="36">
        <v>0</v>
      </c>
      <c r="H9" s="13">
        <f>VLOOKUP(B9,'Aging Factor'!A154:G251,4,1)</f>
        <v>1.35</v>
      </c>
      <c r="I9" s="13">
        <f>VLOOKUP(B9,'Aging Factor'!A154:G251,7,1)</f>
        <v>2.9449999999999998</v>
      </c>
      <c r="J9" s="13">
        <f>(H9*Calibration!$B$49*SQRT(C9))-((0.32989795*C9)-1.302)</f>
        <v>11.462520356868605</v>
      </c>
      <c r="K9" s="13">
        <f>C9*Calibration!$B$50*H9*(D9/C9)/12500*'Degradation Model'!$B$26/E9</f>
        <v>5.6573593377297602</v>
      </c>
      <c r="L9" s="13">
        <f t="shared" si="0"/>
        <v>0</v>
      </c>
      <c r="M9" s="13">
        <f t="shared" si="1"/>
        <v>17.119879694598367</v>
      </c>
      <c r="N9" s="13">
        <f t="shared" si="2"/>
        <v>17.119879694598367</v>
      </c>
      <c r="O9" s="13">
        <f t="shared" si="3"/>
        <v>82.880120305401633</v>
      </c>
      <c r="P9" s="35">
        <v>80.099999999999994</v>
      </c>
      <c r="Q9" s="34" t="s">
        <v>302</v>
      </c>
      <c r="R9" s="20">
        <f t="shared" si="4"/>
        <v>2.7801203054016383</v>
      </c>
      <c r="S9" s="35"/>
      <c r="T9" s="20">
        <f t="shared" si="5"/>
        <v>19.900000000000006</v>
      </c>
    </row>
    <row r="10" spans="1:20">
      <c r="A10" s="27" t="s">
        <v>306</v>
      </c>
      <c r="B10" s="27" t="s">
        <v>106</v>
      </c>
      <c r="C10" s="36">
        <f>16/12</f>
        <v>1.3333333333333333</v>
      </c>
      <c r="D10" s="27">
        <v>11500</v>
      </c>
      <c r="E10" s="36">
        <v>4</v>
      </c>
      <c r="F10" s="36">
        <v>0</v>
      </c>
      <c r="G10" s="36">
        <v>0</v>
      </c>
      <c r="H10" s="13">
        <f>VLOOKUP(B10,'Aging Factor'!A156:G253,4,1)</f>
        <v>1.35</v>
      </c>
      <c r="I10" s="13">
        <f>VLOOKUP(B10,'Aging Factor'!A156:G253,7,1)</f>
        <v>2.9449999999999998</v>
      </c>
      <c r="J10" s="13">
        <f>(H10*Calibration!$B$49*SQRT(C10))-((0.32989795*C10)-1.302)</f>
        <v>11.618171581669396</v>
      </c>
      <c r="K10" s="13">
        <f>C10*Calibration!$B$50*H10*(D10/C10)/12500*'Degradation Model'!$B$26/E10</f>
        <v>2.9044478742809035</v>
      </c>
      <c r="L10" s="13">
        <f t="shared" si="0"/>
        <v>0</v>
      </c>
      <c r="M10" s="13">
        <f t="shared" si="1"/>
        <v>14.522619455950299</v>
      </c>
      <c r="N10" s="13">
        <f t="shared" si="2"/>
        <v>14.522619455950299</v>
      </c>
      <c r="O10" s="13">
        <f t="shared" si="3"/>
        <v>85.477380544049709</v>
      </c>
      <c r="P10" s="35">
        <v>84.5</v>
      </c>
      <c r="Q10" s="34" t="s">
        <v>302</v>
      </c>
      <c r="R10" s="20">
        <f t="shared" si="4"/>
        <v>0.97738054404970853</v>
      </c>
      <c r="S10" s="35"/>
      <c r="T10" s="20">
        <f t="shared" si="5"/>
        <v>15.5</v>
      </c>
    </row>
    <row r="11" spans="1:20">
      <c r="A11" s="27" t="s">
        <v>307</v>
      </c>
      <c r="B11" s="27" t="s">
        <v>106</v>
      </c>
      <c r="C11" s="36">
        <f>14/12</f>
        <v>1.1666666666666667</v>
      </c>
      <c r="D11" s="27">
        <v>13900</v>
      </c>
      <c r="E11" s="36">
        <v>4</v>
      </c>
      <c r="F11" s="36">
        <v>0</v>
      </c>
      <c r="G11" s="36">
        <v>0</v>
      </c>
      <c r="H11" s="13">
        <f>VLOOKUP(B11,'Aging Factor'!A157:G254,4,1)</f>
        <v>1.35</v>
      </c>
      <c r="I11" s="13">
        <f>VLOOKUP(B11,'Aging Factor'!A157:G254,7,1)</f>
        <v>2.9449999999999998</v>
      </c>
      <c r="J11" s="13">
        <f>(H11*Calibration!$B$49*SQRT(C11))-((0.32989795*C11)-1.302)</f>
        <v>10.978468992611539</v>
      </c>
      <c r="K11" s="13">
        <f>C11*Calibration!$B$50*H11*(D11/C11)/12500*'Degradation Model'!$B$26/E11</f>
        <v>3.5105935176090921</v>
      </c>
      <c r="L11" s="13">
        <f t="shared" si="0"/>
        <v>0</v>
      </c>
      <c r="M11" s="13">
        <f t="shared" si="1"/>
        <v>14.489062510220631</v>
      </c>
      <c r="N11" s="13">
        <f t="shared" si="2"/>
        <v>14.489062510220631</v>
      </c>
      <c r="O11" s="13">
        <f t="shared" si="3"/>
        <v>85.510937489779366</v>
      </c>
      <c r="P11" s="35">
        <v>86.3</v>
      </c>
      <c r="Q11" s="34" t="s">
        <v>302</v>
      </c>
      <c r="R11" s="20">
        <f t="shared" si="4"/>
        <v>-0.78906251022063145</v>
      </c>
      <c r="S11" s="35"/>
      <c r="T11" s="20">
        <f t="shared" si="5"/>
        <v>13.700000000000003</v>
      </c>
    </row>
    <row r="12" spans="1:20">
      <c r="A12" s="27" t="s">
        <v>308</v>
      </c>
      <c r="B12" s="27" t="s">
        <v>106</v>
      </c>
      <c r="C12" s="36">
        <f>15/12</f>
        <v>1.25</v>
      </c>
      <c r="D12" s="27">
        <v>16000</v>
      </c>
      <c r="E12" s="36">
        <v>4</v>
      </c>
      <c r="F12" s="36">
        <v>0</v>
      </c>
      <c r="G12" s="36">
        <v>0</v>
      </c>
      <c r="H12" s="13">
        <f>VLOOKUP(B12,'Aging Factor'!A158:G255,4,1)</f>
        <v>1.35</v>
      </c>
      <c r="I12" s="13">
        <f>VLOOKUP(B12,'Aging Factor'!A158:G255,7,1)</f>
        <v>2.9449999999999998</v>
      </c>
      <c r="J12" s="13">
        <f>(H12*Calibration!$B$49*SQRT(C12))-((0.32989795*C12)-1.302)</f>
        <v>11.304114167705272</v>
      </c>
      <c r="K12" s="13">
        <f>C12*Calibration!$B$50*H12*(D12/C12)/12500*'Degradation Model'!$B$26/E12</f>
        <v>4.0409709555212574</v>
      </c>
      <c r="L12" s="13">
        <f t="shared" si="0"/>
        <v>0</v>
      </c>
      <c r="M12" s="13">
        <f t="shared" si="1"/>
        <v>15.345085123226529</v>
      </c>
      <c r="N12" s="13">
        <f t="shared" si="2"/>
        <v>15.345085123226529</v>
      </c>
      <c r="O12" s="13">
        <f t="shared" si="3"/>
        <v>84.654914876773475</v>
      </c>
      <c r="P12" s="35">
        <v>90.1</v>
      </c>
      <c r="Q12" s="34" t="s">
        <v>302</v>
      </c>
      <c r="R12" s="20">
        <f t="shared" si="4"/>
        <v>-5.4450851232265194</v>
      </c>
      <c r="S12" s="35"/>
      <c r="T12" s="20">
        <f t="shared" si="5"/>
        <v>9.9000000000000057</v>
      </c>
    </row>
    <row r="13" spans="1:20">
      <c r="A13" s="27" t="s">
        <v>309</v>
      </c>
      <c r="B13" s="27" t="s">
        <v>106</v>
      </c>
      <c r="C13" s="36">
        <v>0.25</v>
      </c>
      <c r="D13" s="27">
        <v>2500</v>
      </c>
      <c r="E13" s="36">
        <v>4</v>
      </c>
      <c r="F13" s="36">
        <v>0</v>
      </c>
      <c r="G13" s="36">
        <v>0</v>
      </c>
      <c r="H13" s="13">
        <f>VLOOKUP(B13,'Aging Factor'!A159:G256,4,1)</f>
        <v>1.35</v>
      </c>
      <c r="I13" s="13">
        <f>VLOOKUP(B13,'Aging Factor'!A159:G256,7,1)</f>
        <v>2.9449999999999998</v>
      </c>
      <c r="J13" s="13">
        <f>(H13*Calibration!$B$49*SQRT(C13))-((0.32989795*C13)-1.302)</f>
        <v>5.8770255125000004</v>
      </c>
      <c r="K13" s="13">
        <f>C13*Calibration!$B$50*H13*(D13/C13)/12500*'Degradation Model'!$B$26/E13</f>
        <v>0.63140171180019644</v>
      </c>
      <c r="L13" s="13">
        <f t="shared" si="0"/>
        <v>0</v>
      </c>
      <c r="M13" s="13">
        <f t="shared" si="1"/>
        <v>6.5084272243001973</v>
      </c>
      <c r="N13" s="13">
        <f t="shared" si="2"/>
        <v>6.5084272243001973</v>
      </c>
      <c r="O13" s="13">
        <f t="shared" si="3"/>
        <v>93.491572775699808</v>
      </c>
      <c r="P13" s="35">
        <v>94.7</v>
      </c>
      <c r="Q13" s="34" t="s">
        <v>302</v>
      </c>
      <c r="R13" s="20">
        <f t="shared" si="4"/>
        <v>-1.2084272243001948</v>
      </c>
      <c r="S13" s="35"/>
      <c r="T13" s="20">
        <f t="shared" si="5"/>
        <v>5.2999999999999972</v>
      </c>
    </row>
    <row r="14" spans="1:20">
      <c r="A14" s="27" t="s">
        <v>310</v>
      </c>
      <c r="B14" s="27" t="s">
        <v>106</v>
      </c>
      <c r="C14" s="36">
        <f>1/12</f>
        <v>8.3333333333333329E-2</v>
      </c>
      <c r="D14" s="27">
        <v>100</v>
      </c>
      <c r="E14" s="36">
        <v>4</v>
      </c>
      <c r="F14" s="36">
        <v>0</v>
      </c>
      <c r="G14" s="36">
        <v>0</v>
      </c>
      <c r="H14" s="13">
        <f>VLOOKUP(B14,'Aging Factor'!A160:G257,4,1)</f>
        <v>1.35</v>
      </c>
      <c r="I14" s="13">
        <f>VLOOKUP(B14,'Aging Factor'!A160:G257,7,1)</f>
        <v>2.9449999999999998</v>
      </c>
      <c r="J14" s="13">
        <f>(H14*Calibration!$B$49*SQRT(C14))-((0.32989795*C14)-1.302)</f>
        <v>3.9635173829173489</v>
      </c>
      <c r="K14" s="13">
        <f>C14*Calibration!$B$50*H14*(D14/C14)/12500*'Degradation Model'!$B$26/E14</f>
        <v>2.5256068472007859E-2</v>
      </c>
      <c r="L14" s="13">
        <f t="shared" si="0"/>
        <v>0</v>
      </c>
      <c r="M14" s="13">
        <f t="shared" si="1"/>
        <v>3.9887734513893567</v>
      </c>
      <c r="N14" s="13">
        <f t="shared" si="2"/>
        <v>3.9887734513893567</v>
      </c>
      <c r="O14" s="13">
        <f t="shared" si="3"/>
        <v>96.011226548610637</v>
      </c>
      <c r="P14" s="35">
        <v>100</v>
      </c>
      <c r="Q14" s="34" t="s">
        <v>302</v>
      </c>
      <c r="R14" s="20">
        <f t="shared" si="4"/>
        <v>-3.9887734513893633</v>
      </c>
      <c r="S14" s="35"/>
      <c r="T14" s="20">
        <v>0.3</v>
      </c>
    </row>
    <row r="15" spans="1:20">
      <c r="A15" s="27" t="s">
        <v>311</v>
      </c>
      <c r="B15" s="27" t="s">
        <v>106</v>
      </c>
      <c r="C15" s="36">
        <f>15/12</f>
        <v>1.25</v>
      </c>
      <c r="D15" s="27">
        <v>29000</v>
      </c>
      <c r="E15" s="36">
        <v>4</v>
      </c>
      <c r="F15" s="36">
        <v>0</v>
      </c>
      <c r="G15" s="36">
        <v>0</v>
      </c>
      <c r="H15" s="13">
        <f>VLOOKUP(B15,'Aging Factor'!A160:G257,4,1)</f>
        <v>1.35</v>
      </c>
      <c r="I15" s="13">
        <f>VLOOKUP(B15,'Aging Factor'!A160:G257,7,1)</f>
        <v>2.9449999999999998</v>
      </c>
      <c r="J15" s="13">
        <f>(H15*Calibration!$B$49*SQRT(C15))-((0.32989795*C15)-1.302)</f>
        <v>11.304114167705272</v>
      </c>
      <c r="K15" s="13">
        <f>C15*Calibration!$B$50*H15*(D15/C15)/12500*'Degradation Model'!$B$26/E15</f>
        <v>7.3242598568822785</v>
      </c>
      <c r="L15" s="13">
        <f t="shared" si="0"/>
        <v>0</v>
      </c>
      <c r="M15" s="13">
        <f t="shared" si="1"/>
        <v>18.628374024587551</v>
      </c>
      <c r="N15" s="13">
        <f t="shared" si="2"/>
        <v>18.628374024587551</v>
      </c>
      <c r="O15" s="13">
        <f t="shared" si="3"/>
        <v>81.371625975412456</v>
      </c>
      <c r="P15" s="35">
        <v>70.599999999999994</v>
      </c>
      <c r="Q15" s="34" t="s">
        <v>302</v>
      </c>
      <c r="R15" s="20">
        <f t="shared" si="4"/>
        <v>10.771625975412462</v>
      </c>
      <c r="S15" s="35" t="s">
        <v>312</v>
      </c>
      <c r="T15" s="20">
        <f>100-P15</f>
        <v>29.400000000000006</v>
      </c>
    </row>
    <row r="16" spans="1:20">
      <c r="A16" s="27" t="s">
        <v>313</v>
      </c>
      <c r="B16" s="27" t="s">
        <v>84</v>
      </c>
      <c r="C16" s="36">
        <f>3.5/12</f>
        <v>0.29166666666666669</v>
      </c>
      <c r="D16" s="27">
        <v>7000</v>
      </c>
      <c r="E16" s="36">
        <v>4.2</v>
      </c>
      <c r="F16" s="36">
        <f>25/70</f>
        <v>0.35714285714285715</v>
      </c>
      <c r="G16" s="36">
        <v>0</v>
      </c>
      <c r="H16" s="13">
        <f>VLOOKUP(B16,'Aging Factor'!A149:G246,4,1)</f>
        <v>0.88201889682399837</v>
      </c>
      <c r="I16" s="13">
        <f>VLOOKUP(B16,'Aging Factor'!A149:G246,7,1)</f>
        <v>2.4541666666666666</v>
      </c>
      <c r="J16" s="13">
        <f>(H16*Calibration!$B$49*SQRT(C16))-((0.32989795*C16)-1.302)</f>
        <v>4.4925578273952853</v>
      </c>
      <c r="K16" s="13">
        <f>C16*Calibration!$B$50*H16*(D16/C16)/12500*'Degradation Model'!$B$26/E16</f>
        <v>1.1000656618168758</v>
      </c>
      <c r="L16" s="13">
        <f t="shared" si="0"/>
        <v>0.41492891108313046</v>
      </c>
      <c r="M16" s="13">
        <f t="shared" si="1"/>
        <v>5.5926234892121611</v>
      </c>
      <c r="N16" s="13">
        <f t="shared" si="2"/>
        <v>6.0075524002952916</v>
      </c>
      <c r="O16" s="13">
        <f t="shared" si="3"/>
        <v>93.992447599704704</v>
      </c>
      <c r="P16" s="20">
        <v>91.2</v>
      </c>
      <c r="Q16" s="34" t="s">
        <v>302</v>
      </c>
      <c r="R16" s="20">
        <f t="shared" si="4"/>
        <v>2.7924475997047011</v>
      </c>
      <c r="S16" s="35" t="s">
        <v>314</v>
      </c>
      <c r="T16" s="20">
        <f>100-P16</f>
        <v>8.7999999999999972</v>
      </c>
    </row>
    <row r="17" spans="1:20">
      <c r="A17" s="27" t="s">
        <v>95</v>
      </c>
      <c r="B17" s="27" t="s">
        <v>180</v>
      </c>
      <c r="C17" s="36">
        <f>15/12</f>
        <v>1.25</v>
      </c>
      <c r="D17" s="27">
        <v>10700</v>
      </c>
      <c r="E17" s="36">
        <v>5.7</v>
      </c>
      <c r="F17" s="36">
        <v>4</v>
      </c>
      <c r="G17" s="36">
        <v>0</v>
      </c>
      <c r="H17" s="13">
        <f>VLOOKUP(B17,'Aging Factor'!A150:G247,4,1)</f>
        <v>0.86158025825752027</v>
      </c>
      <c r="I17" s="13">
        <f>VLOOKUP(B17,'Aging Factor'!A150:G247,7,1)</f>
        <v>2.4541666666666666</v>
      </c>
      <c r="J17" s="13">
        <f>(H17*Calibration!$B$49*SQRT(C17))-((0.32989795*C17)-1.302)</f>
        <v>7.5362320505979588</v>
      </c>
      <c r="K17" s="13">
        <f>C17*Calibration!$B$50*H17*(D17/C17)/12500*'Degradation Model'!$B$26/E17</f>
        <v>1.210310024506817</v>
      </c>
      <c r="L17" s="13">
        <f t="shared" si="0"/>
        <v>7.2679599624084918</v>
      </c>
      <c r="M17" s="13">
        <f t="shared" si="1"/>
        <v>8.7465420751047755</v>
      </c>
      <c r="N17" s="13">
        <f t="shared" si="2"/>
        <v>16.014502037513267</v>
      </c>
      <c r="O17" s="13">
        <f t="shared" si="3"/>
        <v>83.985497962486733</v>
      </c>
      <c r="P17" s="20">
        <v>88.5</v>
      </c>
      <c r="Q17" s="34" t="s">
        <v>315</v>
      </c>
      <c r="R17" s="20">
        <f t="shared" si="4"/>
        <v>-4.5145020375132674</v>
      </c>
      <c r="S17" s="35" t="s">
        <v>316</v>
      </c>
      <c r="T17" s="20">
        <f>100-P17</f>
        <v>11.5</v>
      </c>
    </row>
    <row r="18" spans="1:20">
      <c r="A18" s="27" t="s">
        <v>317</v>
      </c>
      <c r="B18" s="27" t="s">
        <v>92</v>
      </c>
      <c r="C18" s="36">
        <f>17.5/12</f>
        <v>1.4583333333333333</v>
      </c>
      <c r="D18" s="27">
        <v>56000</v>
      </c>
      <c r="E18" s="36">
        <v>4</v>
      </c>
      <c r="F18" s="36">
        <v>0</v>
      </c>
      <c r="G18" s="36">
        <v>0</v>
      </c>
      <c r="H18" s="13">
        <f>VLOOKUP(B18,'Aging Factor'!A148:G245,4,1)</f>
        <v>0.71790831336610927</v>
      </c>
      <c r="I18" s="13">
        <f>VLOOKUP(B18,'Aging Factor'!A148:G245,7,1)</f>
        <v>1.4724999999999999</v>
      </c>
      <c r="J18" s="13">
        <f>(H18*Calibration!$B$49*SQRT(C18))-((0.32989795*C18)-1.302)</f>
        <v>6.8028997298872547</v>
      </c>
      <c r="K18" s="13">
        <f>C18*Calibration!$B$50*H18*(D18/C18)/12500*'Degradation Model'!$B$26/E18</f>
        <v>7.5212320375103339</v>
      </c>
      <c r="L18" s="13">
        <f t="shared" si="0"/>
        <v>0</v>
      </c>
      <c r="M18" s="13">
        <f t="shared" si="1"/>
        <v>14.324131767397589</v>
      </c>
      <c r="N18" s="13">
        <f t="shared" si="2"/>
        <v>14.324131767397589</v>
      </c>
      <c r="O18" s="13">
        <f t="shared" si="3"/>
        <v>85.675868232602411</v>
      </c>
      <c r="P18" s="20">
        <v>88.2</v>
      </c>
      <c r="Q18" s="34" t="s">
        <v>318</v>
      </c>
      <c r="R18" s="20">
        <f t="shared" si="4"/>
        <v>-2.5241317673975914</v>
      </c>
      <c r="S18" s="35"/>
      <c r="T18" s="20">
        <f>100-P18</f>
        <v>11.799999999999997</v>
      </c>
    </row>
    <row r="19" spans="1:20">
      <c r="A19" s="27" t="s">
        <v>317</v>
      </c>
      <c r="B19" s="27" t="s">
        <v>92</v>
      </c>
      <c r="C19" s="36">
        <f>28/12</f>
        <v>2.3333333333333335</v>
      </c>
      <c r="D19" s="27">
        <v>91000</v>
      </c>
      <c r="E19" s="36">
        <v>4</v>
      </c>
      <c r="F19" s="36">
        <v>0</v>
      </c>
      <c r="G19" s="36">
        <v>0</v>
      </c>
      <c r="H19" s="13">
        <f>VLOOKUP(B19,'Aging Factor'!A149:G246,4,1)</f>
        <v>0.71790831336610927</v>
      </c>
      <c r="I19" s="13">
        <f>VLOOKUP(B19,'Aging Factor'!A149:G246,7,1)</f>
        <v>1.4724999999999999</v>
      </c>
      <c r="J19" s="13">
        <f>(H19*Calibration!$B$49*SQRT(C19))-((0.32989795*C19)-1.302)</f>
        <v>8.0989372491546963</v>
      </c>
      <c r="K19" s="13">
        <f>C19*Calibration!$B$50*H19*(D19/C19)/12500*'Degradation Model'!$B$26/E19</f>
        <v>12.222002060954296</v>
      </c>
      <c r="L19" s="13">
        <f t="shared" si="0"/>
        <v>0</v>
      </c>
      <c r="M19" s="13">
        <f t="shared" si="1"/>
        <v>20.32093931010899</v>
      </c>
      <c r="N19" s="13">
        <f t="shared" si="2"/>
        <v>20.32093931010899</v>
      </c>
      <c r="O19" s="13">
        <f t="shared" si="3"/>
        <v>79.679060689891003</v>
      </c>
      <c r="P19" s="20">
        <f>214/281*100</f>
        <v>76.156583629893234</v>
      </c>
      <c r="Q19" s="34" t="s">
        <v>318</v>
      </c>
      <c r="R19" s="20">
        <f t="shared" si="4"/>
        <v>3.5224770599977688</v>
      </c>
      <c r="S19" s="35"/>
      <c r="T19" s="20"/>
    </row>
    <row r="20" spans="1:20">
      <c r="A20" s="27"/>
      <c r="B20" s="27"/>
      <c r="C20" s="36"/>
      <c r="D20" s="27"/>
      <c r="E20" s="36"/>
      <c r="F20" s="36"/>
      <c r="G20" s="36"/>
      <c r="H20" s="13"/>
      <c r="I20" s="13"/>
      <c r="J20" s="13"/>
      <c r="K20" s="13"/>
      <c r="L20" s="13"/>
      <c r="M20" s="13"/>
      <c r="N20" s="13"/>
      <c r="O20" s="13"/>
      <c r="P20" s="20"/>
      <c r="Q20" s="34"/>
      <c r="R20" s="20"/>
      <c r="S20" s="35"/>
      <c r="T20" s="20"/>
    </row>
    <row r="22" spans="1:20">
      <c r="Q22" s="27" t="s">
        <v>113</v>
      </c>
      <c r="R22" s="36">
        <f>AVERAGE(R4:R14)</f>
        <v>-0.37860633231344371</v>
      </c>
    </row>
    <row r="23" spans="1:20">
      <c r="Q23" s="27" t="s">
        <v>319</v>
      </c>
      <c r="R23" s="36" t="e">
        <f ca="1">_xlfn.STDEV.S(R4:R14)</f>
        <v>#NAME?</v>
      </c>
    </row>
    <row r="26" spans="1:20">
      <c r="Q26" s="35" t="s">
        <v>320</v>
      </c>
      <c r="R26" s="20">
        <f t="shared" ref="R26:R36" si="6">ABS(R4)</f>
        <v>2.2404203349641563</v>
      </c>
    </row>
    <row r="27" spans="1:20">
      <c r="Q27" s="35"/>
      <c r="R27" s="20">
        <f t="shared" si="6"/>
        <v>2.8256371320372438</v>
      </c>
    </row>
    <row r="28" spans="1:20">
      <c r="Q28" s="35"/>
      <c r="R28" s="20">
        <f t="shared" si="6"/>
        <v>2.9057432740161033</v>
      </c>
    </row>
    <row r="29" spans="1:20">
      <c r="Q29" s="35"/>
      <c r="R29" s="20">
        <f t="shared" si="6"/>
        <v>0.40747556149355546</v>
      </c>
    </row>
    <row r="30" spans="1:20">
      <c r="Q30" s="35"/>
      <c r="R30" s="20">
        <f t="shared" si="6"/>
        <v>5.2620164357292225</v>
      </c>
    </row>
    <row r="31" spans="1:20">
      <c r="Q31" s="35"/>
      <c r="R31" s="20">
        <f t="shared" si="6"/>
        <v>2.7801203054016383</v>
      </c>
    </row>
    <row r="32" spans="1:20">
      <c r="Q32" s="35"/>
      <c r="R32" s="20">
        <f t="shared" si="6"/>
        <v>0.97738054404970853</v>
      </c>
    </row>
    <row r="33" spans="17:18">
      <c r="Q33" s="35"/>
      <c r="R33" s="20">
        <f t="shared" si="6"/>
        <v>0.78906251022063145</v>
      </c>
    </row>
    <row r="34" spans="17:18">
      <c r="Q34" s="35"/>
      <c r="R34" s="20">
        <f t="shared" si="6"/>
        <v>5.4450851232265194</v>
      </c>
    </row>
    <row r="35" spans="17:18">
      <c r="Q35" s="35"/>
      <c r="R35" s="20">
        <f t="shared" si="6"/>
        <v>1.2084272243001948</v>
      </c>
    </row>
    <row r="36" spans="17:18">
      <c r="Q36" s="35"/>
      <c r="R36" s="20">
        <f t="shared" si="6"/>
        <v>3.9887734513893633</v>
      </c>
    </row>
    <row r="37" spans="17:18">
      <c r="R37" s="44"/>
    </row>
    <row r="38" spans="17:18">
      <c r="Q38" s="27" t="s">
        <v>113</v>
      </c>
      <c r="R38" s="36">
        <f>AVERAGE(R26:R36)</f>
        <v>2.6209219906207579</v>
      </c>
    </row>
    <row r="39" spans="17:18">
      <c r="Q39" s="27" t="s">
        <v>319</v>
      </c>
      <c r="R39" s="36" t="e">
        <f ca="1">_xlfn.STDEV.S(R26:R36)</f>
        <v>#NAME?</v>
      </c>
    </row>
  </sheetData>
  <sortState ref="A4:T18">
    <sortCondition ref="B4:B18"/>
  </sortState>
  <pageMargins left="0" right="0" top="0.39410000000000006" bottom="0.39410000000000006" header="0" footer="0"/>
  <headerFooter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125862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Prediction</vt:lpstr>
      <vt:lpstr>Calibration</vt:lpstr>
      <vt:lpstr>Degradation Model</vt:lpstr>
      <vt:lpstr>Aging Factor</vt:lpstr>
      <vt:lpstr>End of Life</vt:lpstr>
      <vt:lpstr>Validation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Tcimpidis</dc:creator>
  <cp:lastModifiedBy>George</cp:lastModifiedBy>
  <cp:revision>567</cp:revision>
  <dcterms:created xsi:type="dcterms:W3CDTF">2012-10-12T15:21:29Z</dcterms:created>
  <dcterms:modified xsi:type="dcterms:W3CDTF">2013-10-27T21:28:08Z</dcterms:modified>
</cp:coreProperties>
</file>